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7.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8.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1"/>
  <workbookPr defaultThemeVersion="166925"/>
  <mc:AlternateContent xmlns:mc="http://schemas.openxmlformats.org/markup-compatibility/2006">
    <mc:Choice Requires="x15">
      <x15ac:absPath xmlns:x15ac="http://schemas.microsoft.com/office/spreadsheetml/2010/11/ac" url="/Users/kerimcnamara/Downloads/"/>
    </mc:Choice>
  </mc:AlternateContent>
  <xr:revisionPtr revIDLastSave="0" documentId="13_ncr:1_{1A16142F-9912-EA4C-B329-89E33EC719AA}" xr6:coauthVersionLast="47" xr6:coauthVersionMax="47" xr10:uidLastSave="{00000000-0000-0000-0000-000000000000}"/>
  <bookViews>
    <workbookView xWindow="34960" yWindow="-6460" windowWidth="29040" windowHeight="16440" tabRatio="901" xr2:uid="{983B4F99-C15B-415C-AAF1-1545AF75BC29}"/>
  </bookViews>
  <sheets>
    <sheet name="_Cover" sheetId="3" r:id="rId1"/>
    <sheet name="_Contents" sheetId="2" r:id="rId2"/>
    <sheet name="Dashboard" sheetId="24" r:id="rId3"/>
    <sheet name="Carbon.Tax_Inputs" sheetId="54" r:id="rId4"/>
    <sheet name="Cost_Forecast_SC" sheetId="15" r:id="rId5"/>
    <sheet name="ES.Costs" sheetId="17" r:id="rId6"/>
    <sheet name="Solar.Costs" sheetId="13" r:id="rId7"/>
    <sheet name="Solar_ES.Costs" sheetId="37" r:id="rId8"/>
    <sheet name="Wind.Costs" sheetId="22" r:id="rId9"/>
    <sheet name="Wind_ES.Costs" sheetId="49" r:id="rId10"/>
    <sheet name="Gas.Peaker.Costs" sheetId="38" r:id="rId11"/>
    <sheet name="CCGT.Costs" sheetId="55" r:id="rId12"/>
    <sheet name="Gas.Peaker.Costs (No Carb Tax)" sheetId="57" r:id="rId13"/>
    <sheet name="CCGT.Costs (No Carb Tax)" sheetId="58" r:id="rId14"/>
    <sheet name="Inputs_SC" sheetId="26" r:id="rId15"/>
    <sheet name="Inputs.ES" sheetId="18" r:id="rId16"/>
    <sheet name="Inputs.Solar" sheetId="14" r:id="rId17"/>
    <sheet name="Inputs.Wind" sheetId="23" r:id="rId18"/>
    <sheet name="Inputs.Gas.Peaker" sheetId="39" r:id="rId19"/>
    <sheet name="Inputs.CCGT" sheetId="56" r:id="rId20"/>
    <sheet name="Lookup_SC" sheetId="21" r:id="rId21"/>
    <sheet name="Jurisdiction_Inputs" sheetId="19" r:id="rId22"/>
  </sheets>
  <definedNames>
    <definedName name="Canada.CPI">Jurisdiction_Inputs!$L$10:$L$17</definedName>
    <definedName name="CPI.years">Jurisdiction_Inputs!$J$10:$J$17</definedName>
    <definedName name="derate.AB">Inputs.Wind!$L$289</definedName>
    <definedName name="derate.CA">Inputs.Wind!$L$291</definedName>
    <definedName name="derate.ON">Inputs.Wind!$L$290</definedName>
    <definedName name="es_selected.plant.capacity">ES.Costs!$K$13:$X$13</definedName>
    <definedName name="es_selected.plant.capacity_MWh">ES.Costs!$K$15:$X$15</definedName>
    <definedName name="es.annual.cycles">ES.Costs!$K$64:$X$64</definedName>
    <definedName name="es.avg.lifetime.rated.capacity">ES.Costs!$K$65:$X$65</definedName>
    <definedName name="es.battery.cabinet.costs.2022">Inputs.ES!$M$143</definedName>
    <definedName name="es.jurisdictional_inputs">Jurisdiction_Inputs!$J$50:$L$58</definedName>
    <definedName name="es.jurisdictional_inputs_rows">Jurisdiction_Inputs!$I$50:$I$58</definedName>
    <definedName name="es.RTE">ES.Costs!$K$66:$X$66</definedName>
    <definedName name="es.selected.duration">Dashboard!$F$10</definedName>
    <definedName name="es.total.capex_CADperkW">ES.Costs!$K$8:$X$8</definedName>
    <definedName name="es.total.opex_CADperkW">ES.Costs!$K$9:$X$9</definedName>
    <definedName name="forecast_ccgt_costs_CA" localSheetId="19">Inputs.CCGT!$N$20:$AA$20</definedName>
    <definedName name="forecast_ccgt_fixed_om_costs_CA" localSheetId="19">Inputs.CCGT!$N$29:$AA$29</definedName>
    <definedName name="forecast_ccgt_var_om_costs_CA" localSheetId="19">Inputs.CCGT!$N$30:$AA$30</definedName>
    <definedName name="forecast_es.admin.costs_CA">Inputs.ES!$N$204:$AA$204</definedName>
    <definedName name="forecast_es.battery_costs_AB">Inputs.ES!$N$53:$AA$53</definedName>
    <definedName name="forecast_es.battery_costs_CA">Inputs.ES!$N$52:$AA$52</definedName>
    <definedName name="forecast_es.battery_costs_ON">Inputs.ES!$N$54:$AA$54</definedName>
    <definedName name="forecast_es.battery_fixedOM_AB">Inputs.ES!$N$197:$AA$197</definedName>
    <definedName name="forecast_es.battery_fixedOM_CA">Inputs.ES!$N$196:$AA$196</definedName>
    <definedName name="forecast_es.battery_fixedOM_ON">Inputs.ES!$N$198:$AA$198</definedName>
    <definedName name="forecast_es.battery.inverter.costs_AB">Inputs.ES!$N$88:$AA$88</definedName>
    <definedName name="forecast_es.battery.inverter.costs_CA">Inputs.ES!$N$87:$AA$87</definedName>
    <definedName name="forecast_es.battery.inverter.costs_ON">Inputs.ES!$N$89:$AA$89</definedName>
    <definedName name="forecast_es.BOS.electrical.costs_AB">Inputs.ES!$N$131:$AA$131</definedName>
    <definedName name="forecast_es.BOS.electrical.costs_CA">Inputs.ES!$N$128:$AA$128</definedName>
    <definedName name="forecast_es.BOS.electrical.costs_ON">Inputs.ES!$N$134:$AA$134</definedName>
    <definedName name="forecast_es.BOS.Structural.costs_AB">Inputs.ES!$N$130:$AA$130</definedName>
    <definedName name="forecast_es.BOS.Structural.costs_CA">Inputs.ES!$N$127:$AA$127</definedName>
    <definedName name="forecast_es.BOS.Structural.costs_ON">Inputs.ES!$N$133:$AA$133</definedName>
    <definedName name="forecast_es.footprint">Inputs.ES!$N$145:$AA$145</definedName>
    <definedName name="forecast_es.land.costs_AB">Inputs.ES!$N$201:$AA$201</definedName>
    <definedName name="forecast_es.land.costs_CA">Inputs.ES!$N$200:$AA$200</definedName>
    <definedName name="forecast_es.land.costs_ON">Inputs.ES!$N$202:$AA$202</definedName>
    <definedName name="forecast_gas.peaker_costs_CA">'Inputs.Gas.Peaker'!$N$38:$AA$38</definedName>
    <definedName name="forecast_gas.peaker_fixed_om_costs_CA">'Inputs.Gas.Peaker'!$N$47:$AA$47</definedName>
    <definedName name="forecast_gas.peaker_var_om_costs_CA">'Inputs.Gas.Peaker'!$N$48:$AA$48</definedName>
    <definedName name="forecast_solar.admin.costs_CA">Inputs.Solar!$N$216:$AA$216</definedName>
    <definedName name="forecast_solar.cleaning.costs_AB">Inputs.Solar!$N$209:$AA$209</definedName>
    <definedName name="forecast_solar.cleaning.costs_CA">Inputs.Solar!$N$208:$AA$208</definedName>
    <definedName name="forecast_solar.cleaning.costs_ON">Inputs.Solar!$N$210:$AA$210</definedName>
    <definedName name="forecast_solar.electrical.BOS.costs_AB">Inputs.Solar!$N$108:$AA$108</definedName>
    <definedName name="forecast_solar.electrical.BOS.costs_CA">Inputs.Solar!$N$104:$AA$104</definedName>
    <definedName name="forecast_solar.electrical.BOS.costs_ON">Inputs.Solar!$N$112:$AA$112</definedName>
    <definedName name="forecast_solar.electrical.BOS.costs.fixed_AB">Inputs.Solar!$N$109:$AA$109</definedName>
    <definedName name="forecast_solar.electrical.BOS.costs.fixed_CA">Inputs.Solar!$N$105:$AA$105</definedName>
    <definedName name="forecast_solar.electrical.BOS.costs.fixed_ON">Inputs.Solar!$N$113:$AA$113</definedName>
    <definedName name="forecast_solar.grid.connection.costs_AB">Inputs.Solar!$N$131:$AA$131</definedName>
    <definedName name="forecast_solar.grid.connection.costs_CA">Inputs.Solar!$N$130:$AA$130</definedName>
    <definedName name="forecast_solar.grid.connection.costs_ON">Inputs.Solar!$N$132:$AA$132</definedName>
    <definedName name="forecast_solar.ILR">Inputs.Solar!$N$221:$AA$221</definedName>
    <definedName name="forecast_solar.installation.rental_AB">Inputs.Solar!$N$160:$AA$160</definedName>
    <definedName name="forecast_solar.installation.rental_CA">Inputs.Solar!$N$159:$AA$159</definedName>
    <definedName name="forecast_solar.installation.rental_ON">Inputs.Solar!$N$161:$AA$161</definedName>
    <definedName name="forecast_solar.inverter.costs_AB">Inputs.Solar!$N$67:$AA$67</definedName>
    <definedName name="forecast_solar.inverter.costs_CA">Inputs.Solar!$N$66:$AA$66</definedName>
    <definedName name="forecast_solar.inverter.costs_ON">Inputs.Solar!$N$68:$AA$68</definedName>
    <definedName name="forecast_solar.land.costs_AB">Inputs.Solar!$N$213:$AA$213</definedName>
    <definedName name="forecast_solar.land.costs_CA">Inputs.Solar!$N$212:$AA$212</definedName>
    <definedName name="forecast_solar.land.costs_ON">Inputs.Solar!$N$214:$AA$214</definedName>
    <definedName name="forecast_solar.module.costs_AB">Inputs.Solar!$N$37:$AA$37</definedName>
    <definedName name="forecast_solar.module.costs_CA">Inputs.Solar!$N$36:$AA$36</definedName>
    <definedName name="forecast_solar.module.costs_ON">Inputs.Solar!$N$38:$AA$38</definedName>
    <definedName name="forecast_solar.module.efficiency">Inputs.Solar!$N$225:$AA$225</definedName>
    <definedName name="forecast_solar.o_m.costs_AB">Inputs.Solar!$N$205:$AA$205</definedName>
    <definedName name="forecast_solar.o_m.costs_CA">Inputs.Solar!$N$204:$AA$204</definedName>
    <definedName name="forecast_solar.o_m.costs_ON">Inputs.Solar!$N$206:$AA$206</definedName>
    <definedName name="forecast_solar.struct.BOS.costs_AB">Inputs.Solar!$N$107:$AA$107</definedName>
    <definedName name="forecast_solar.struct.BOS.costs_CA">Inputs.Solar!$N$103:$AA$103</definedName>
    <definedName name="forecast_solar.struct.BOS.costs_ON">Inputs.Solar!$N$111:$AA$111</definedName>
    <definedName name="forecast_solar.wages_AB">Inputs.Solar!$N$164:$AA$164</definedName>
    <definedName name="forecast_solar.wages_CA">Inputs.Solar!$N$163:$AA$163</definedName>
    <definedName name="forecast_solar.wages_ON">Inputs.Solar!$N$165:$AA$165</definedName>
    <definedName name="forecast_wind.balance.of.plant.costs_CA">Inputs.Wind!$R$152:$AE$152</definedName>
    <definedName name="forecast_wind.blade.costs_CA">Inputs.Wind!$R$26:$AE$26</definedName>
    <definedName name="forecast_wind.blade.transportation.costs_AB">Inputs.Wind!$R$279:$AE$279</definedName>
    <definedName name="forecast_wind.blade.transportation.costs_CA">Inputs.Wind!$R$278:$AE$278</definedName>
    <definedName name="forecast_wind.blade.transportation.costs_ON">Inputs.Wind!$R$280:$AE$280</definedName>
    <definedName name="forecast_wind.BOP.costs_AB">Inputs.Wind!$R$161:$AE$166</definedName>
    <definedName name="forecast_wind.BOP.costs_CA">Inputs.Wind!$R$153:$AE$158</definedName>
    <definedName name="forecast_wind.BOP.costs_ON">Inputs.Wind!$R$169:$AE$174</definedName>
    <definedName name="forecast_wind.hub.assembly.costs_CA">Inputs.Wind!$R$28:$AE$28</definedName>
    <definedName name="forecast_wind.hub.height_CA">Inputs.Wind!$R$202:$AE$202</definedName>
    <definedName name="forecast_wind.nacelle.costs_CA">Inputs.Wind!$R$52:$AE$52</definedName>
    <definedName name="forecast_wind.pitch.assembly.costs_CA">Inputs.Wind!$R$27:$AE$27</definedName>
    <definedName name="forecast_wind.rotor.diameter_CA">Inputs.Wind!$R$201:$AE$201</definedName>
    <definedName name="forecast_wind.tower.costs_CA">Inputs.Wind!$R$63:$AE$63</definedName>
    <definedName name="forecast_wind.turbine.capacity_CA">Inputs.Wind!$R$200:$AE$200</definedName>
    <definedName name="forecast.carbon.tax" localSheetId="19">Inputs.CCGT!$N$46:$AA$46</definedName>
    <definedName name="forecast.carbon.tax">'Inputs.Gas.Peaker'!$N$64:$AA$64</definedName>
    <definedName name="forecast.es_rte">Inputs.ES!$N$209:$AA$209</definedName>
    <definedName name="Forecast.ITC.Equipment">Jurisdiction_Inputs!$K$33:$X$33</definedName>
    <definedName name="Forecast.ITC.Installation">Jurisdiction_Inputs!$K$34:$X$34</definedName>
    <definedName name="Forecast.ITC.Soft">Jurisdiction_Inputs!$K$35:$X$35</definedName>
    <definedName name="gas.peaker.carbon.emissions_ton_per_MWh" localSheetId="19">Inputs.CCGT!$L$44</definedName>
    <definedName name="gas.peaker.carbon.emissions_ton_per_MWh">'Inputs.Gas.Peaker'!$L$62</definedName>
    <definedName name="ITC.toggle">Dashboard!$F$8</definedName>
    <definedName name="jurisdiction.discount_rate">Dashboard!$F$7</definedName>
    <definedName name="jurisdictional_inputs">Jurisdiction_Inputs!$K$25:$M$29</definedName>
    <definedName name="jurisdictional_inputs_rows">Jurisdiction_Inputs!$J$25:$J$29</definedName>
    <definedName name="jurisdictions">Jurisdiction_Inputs!$K$24:$M$24</definedName>
    <definedName name="land.lease.AB">Inputs.Wind!$R$224</definedName>
    <definedName name="land.lease.CA">Inputs.Wind!$R$226</definedName>
    <definedName name="land.lease.ON">Inputs.Wind!$R$225</definedName>
    <definedName name="project.debt_period">Dashboard!$F$12</definedName>
    <definedName name="project.downpayment">Dashboard!$F$13</definedName>
    <definedName name="project.interest_rate">Dashboard!$F$11</definedName>
    <definedName name="selected.location">Dashboard!$F$6</definedName>
    <definedName name="solar_selected.capacity.factor">Solar.Costs!$K$14:$X$14</definedName>
    <definedName name="solar_selected.inverter.capacity">Solar.Costs!$K$12:$X$12</definedName>
    <definedName name="solar_selected.module.capacity">Solar.Costs!$K$11:$X$11</definedName>
    <definedName name="solar.LCOE_CADperkWh">Solar.Costs!$K$9:$X$9</definedName>
    <definedName name="solar.system_project_life">Inputs.Solar!$N$228:$AA$228</definedName>
    <definedName name="solar.total.capex_CADmil">Solar.Costs!$K$16:$X$16</definedName>
    <definedName name="solar.total.capex_CADperkW">Solar.Costs!$K$7:$X$7</definedName>
    <definedName name="solar.total.capex_equip_CADmil">Solar.Costs!$K$21:$X$21</definedName>
    <definedName name="solar.total.capex_install_CADmil">Solar.Costs!$K$26:$X$26</definedName>
    <definedName name="solar.total.capex_replacement_CADmil">Solar.Costs!$K$36:$X$36</definedName>
    <definedName name="solar.total.capex_soft_CADmil">Solar.Costs!$K$29:$X$29</definedName>
    <definedName name="solar.total.energy_production">Solar.Costs!$K$67:$X$67</definedName>
    <definedName name="solar.total.npv_cost">Solar.Costs!$K$66:$X$66</definedName>
    <definedName name="solar.total.opex_CADmil">Solar.Costs!$K$17:$X$17</definedName>
    <definedName name="solar.total.opex_CADperkWyr">Solar.Costs!$K$8:$X$8</definedName>
    <definedName name="US.CPI">Jurisdiction_Inputs!$K$10:$K$17</definedName>
    <definedName name="USD_to_CAD">Jurisdiction_Inputs!$K$19</definedName>
    <definedName name="wind_project_life">Inputs.Wind!$R$287:$AE$287</definedName>
    <definedName name="wind_selected.capacity.factor" localSheetId="9">Wind_ES.Costs!$K$16:$X$16</definedName>
    <definedName name="wind_selected.capacity.factor">Wind.Costs!$K$15:$X$15</definedName>
    <definedName name="wind_selected.num.turbine" localSheetId="9">Wind_ES.Costs!$K$14:$X$14</definedName>
    <definedName name="wind_selected.num.turbine">Wind.Costs!$K$13:$X$13</definedName>
    <definedName name="wind_selected.plant.capacity" localSheetId="9">Wind_ES.Costs!$K$12:$X$12</definedName>
    <definedName name="wind_selected.plant.capacity">Wind.Costs!$K$11:$X$11</definedName>
    <definedName name="wind_selected.project.life" localSheetId="9">Wind_ES.Costs!$K$15:$X$15</definedName>
    <definedName name="wind_selected.project.life">Wind.Costs!$K$14:$X$14</definedName>
    <definedName name="wind_selected.turbine.capacity" localSheetId="9">Wind_ES.Costs!$K$13:$X$13</definedName>
    <definedName name="wind_selected.turbine.capacity">Wind.Costs!$K$12:$X$12</definedName>
    <definedName name="wind.admin.costs">Inputs.Wind!$R$231</definedName>
    <definedName name="wind.LCOE_CADperkWh" localSheetId="9">Wind_ES.Costs!$K$9:$X$9</definedName>
    <definedName name="wind.LCOE_CADperkWh">Wind.Costs!$K$9:$X$9</definedName>
    <definedName name="wind.property.tax_AB">Inputs.Wind!$R$228</definedName>
    <definedName name="wind.property.tax_CA">Inputs.Wind!$R$230</definedName>
    <definedName name="wind.property.tax_ON">Inputs.Wind!$R$229</definedName>
    <definedName name="wind.total.capex_CADperkW" localSheetId="9">Wind_ES.Costs!$K$7:$X$7</definedName>
    <definedName name="wind.total.capex_CADperkW">Wind.Costs!$K$7:$X$7</definedName>
    <definedName name="wind.total.capex_equip_CADmil" localSheetId="9">Wind_ES.Costs!$K$36:$X$36</definedName>
    <definedName name="wind.total.capex_equip_CADmil">Wind.Costs!$K$23:$X$23</definedName>
    <definedName name="wind.total.capex_install_CADmil" localSheetId="9">Wind_ES.Costs!$K$43:$X$43</definedName>
    <definedName name="wind.total.capex_install_CADmil">Wind.Costs!$K$30:$X$30</definedName>
    <definedName name="wind.total.capex_soft_CADmil" localSheetId="9">Wind_ES.Costs!$K$51:$X$51</definedName>
    <definedName name="wind.total.capex_soft_CADmil">Wind.Costs!$K$37:$X$37</definedName>
    <definedName name="wind.total.opex_CADperkW" localSheetId="9">Wind_ES.Costs!$K$8:$X$8</definedName>
    <definedName name="wind.total.opex_CADperkW">Wind.Costs!$K$8:$X$8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41" i="58" l="1" a="1"/>
  <c r="X41" i="58" s="1"/>
  <c r="W41" i="58" a="1"/>
  <c r="W41" i="58" s="1"/>
  <c r="P41" i="58" a="1"/>
  <c r="P41" i="58" s="1"/>
  <c r="O41" i="58" a="1"/>
  <c r="O41" i="58" s="1"/>
  <c r="X39" i="58"/>
  <c r="W39" i="58"/>
  <c r="V39" i="58"/>
  <c r="U39" i="58"/>
  <c r="T39" i="58"/>
  <c r="S39" i="58"/>
  <c r="R39" i="58"/>
  <c r="Q39" i="58"/>
  <c r="P39" i="58"/>
  <c r="O39" i="58"/>
  <c r="N39" i="58"/>
  <c r="M39" i="58"/>
  <c r="L39" i="58"/>
  <c r="K39" i="58"/>
  <c r="K26" i="58"/>
  <c r="X35" i="58"/>
  <c r="X25" i="58" s="1"/>
  <c r="W35" i="58"/>
  <c r="W25" i="58" s="1"/>
  <c r="V35" i="58"/>
  <c r="S35" i="58"/>
  <c r="Q35" i="58"/>
  <c r="Q26" i="58" s="1"/>
  <c r="P35" i="58"/>
  <c r="P25" i="58" s="1"/>
  <c r="O35" i="58"/>
  <c r="O25" i="58" s="1"/>
  <c r="N35" i="58"/>
  <c r="K35" i="58"/>
  <c r="X34" i="58"/>
  <c r="W34" i="58"/>
  <c r="V34" i="58"/>
  <c r="U34" i="58"/>
  <c r="U35" i="58" s="1"/>
  <c r="T34" i="58"/>
  <c r="T35" i="58" s="1"/>
  <c r="S34" i="58"/>
  <c r="R34" i="58"/>
  <c r="R35" i="58" s="1"/>
  <c r="Q34" i="58"/>
  <c r="P34" i="58"/>
  <c r="O34" i="58"/>
  <c r="N34" i="58"/>
  <c r="M34" i="58"/>
  <c r="M35" i="58" s="1"/>
  <c r="L34" i="58"/>
  <c r="L35" i="58" s="1"/>
  <c r="K34" i="58"/>
  <c r="K33" i="58"/>
  <c r="K33" i="58" a="1"/>
  <c r="K32" i="58" a="1"/>
  <c r="K32" i="58" s="1"/>
  <c r="T26" i="58"/>
  <c r="L26" i="58"/>
  <c r="S25" i="58"/>
  <c r="K25" i="58"/>
  <c r="X13" i="58"/>
  <c r="W13" i="58"/>
  <c r="V13" i="58"/>
  <c r="V41" i="58" s="1" a="1"/>
  <c r="V41" i="58" s="1"/>
  <c r="U13" i="58"/>
  <c r="U41" i="58" s="1" a="1"/>
  <c r="U41" i="58" s="1"/>
  <c r="T13" i="58"/>
  <c r="T41" i="58" s="1" a="1"/>
  <c r="T41" i="58" s="1"/>
  <c r="S13" i="58"/>
  <c r="S41" i="58" s="1" a="1"/>
  <c r="S41" i="58" s="1"/>
  <c r="R13" i="58"/>
  <c r="R41" i="58" s="1" a="1"/>
  <c r="R41" i="58" s="1"/>
  <c r="Q13" i="58"/>
  <c r="Q41" i="58" s="1" a="1"/>
  <c r="Q41" i="58" s="1"/>
  <c r="P13" i="58"/>
  <c r="O13" i="58"/>
  <c r="N13" i="58"/>
  <c r="N41" i="58" s="1" a="1"/>
  <c r="N41" i="58" s="1"/>
  <c r="M13" i="58"/>
  <c r="M41" i="58" s="1" a="1"/>
  <c r="M41" i="58" s="1"/>
  <c r="L13" i="58"/>
  <c r="L41" i="58" s="1" a="1"/>
  <c r="L41" i="58" s="1"/>
  <c r="K13" i="58"/>
  <c r="K41" i="58" s="1" a="1"/>
  <c r="K41" i="58" s="1"/>
  <c r="F6" i="58"/>
  <c r="B2" i="58"/>
  <c r="B1" i="58"/>
  <c r="U41" i="57" a="1"/>
  <c r="U41" i="57" s="1"/>
  <c r="R41" i="57" a="1"/>
  <c r="R41" i="57" s="1"/>
  <c r="Q41" i="57" a="1"/>
  <c r="Q41" i="57" s="1"/>
  <c r="M41" i="57" a="1"/>
  <c r="M41" i="57" s="1"/>
  <c r="X39" i="57"/>
  <c r="W39" i="57"/>
  <c r="V39" i="57"/>
  <c r="U39" i="57"/>
  <c r="T39" i="57"/>
  <c r="S39" i="57"/>
  <c r="R39" i="57"/>
  <c r="Q39" i="57"/>
  <c r="P39" i="57"/>
  <c r="O39" i="57"/>
  <c r="N39" i="57"/>
  <c r="M39" i="57"/>
  <c r="L39" i="57"/>
  <c r="K39" i="57"/>
  <c r="X35" i="57"/>
  <c r="S35" i="57"/>
  <c r="S26" i="57" s="1"/>
  <c r="R35" i="57"/>
  <c r="R25" i="57" s="1"/>
  <c r="Q35" i="57"/>
  <c r="P35" i="57"/>
  <c r="K35" i="57"/>
  <c r="K26" i="57" s="1"/>
  <c r="X34" i="57"/>
  <c r="W34" i="57"/>
  <c r="W35" i="57" s="1"/>
  <c r="V34" i="57"/>
  <c r="V35" i="57" s="1"/>
  <c r="U34" i="57"/>
  <c r="U35" i="57" s="1"/>
  <c r="T34" i="57"/>
  <c r="T35" i="57" s="1"/>
  <c r="S34" i="57"/>
  <c r="R34" i="57"/>
  <c r="Q34" i="57"/>
  <c r="P34" i="57"/>
  <c r="O34" i="57"/>
  <c r="O35" i="57" s="1"/>
  <c r="O26" i="57" s="1"/>
  <c r="N34" i="57"/>
  <c r="N35" i="57" s="1"/>
  <c r="M34" i="57"/>
  <c r="M35" i="57" s="1"/>
  <c r="L34" i="57"/>
  <c r="L35" i="57" s="1"/>
  <c r="L25" i="57" s="1"/>
  <c r="K34" i="57"/>
  <c r="K33" i="57" a="1"/>
  <c r="K33" i="57" s="1"/>
  <c r="K32" i="57" a="1"/>
  <c r="K32" i="57" s="1"/>
  <c r="W26" i="57"/>
  <c r="V26" i="57"/>
  <c r="N26" i="57"/>
  <c r="U25" i="57"/>
  <c r="M25" i="57"/>
  <c r="X13" i="57"/>
  <c r="X41" i="57" s="1" a="1"/>
  <c r="X41" i="57" s="1"/>
  <c r="W13" i="57"/>
  <c r="W41" i="57" s="1" a="1"/>
  <c r="W41" i="57" s="1"/>
  <c r="V13" i="57"/>
  <c r="V41" i="57" s="1" a="1"/>
  <c r="V41" i="57" s="1"/>
  <c r="U13" i="57"/>
  <c r="T13" i="57"/>
  <c r="T41" i="57" s="1" a="1"/>
  <c r="T41" i="57" s="1"/>
  <c r="S13" i="57"/>
  <c r="S41" i="57" s="1" a="1"/>
  <c r="S41" i="57" s="1"/>
  <c r="R13" i="57"/>
  <c r="Q13" i="57"/>
  <c r="P13" i="57"/>
  <c r="P41" i="57" s="1" a="1"/>
  <c r="P41" i="57" s="1"/>
  <c r="O13" i="57"/>
  <c r="O41" i="57" s="1" a="1"/>
  <c r="O41" i="57" s="1"/>
  <c r="N13" i="57"/>
  <c r="N41" i="57" s="1" a="1"/>
  <c r="N41" i="57" s="1"/>
  <c r="M13" i="57"/>
  <c r="L13" i="57"/>
  <c r="L41" i="57" s="1" a="1"/>
  <c r="L41" i="57" s="1"/>
  <c r="K13" i="57"/>
  <c r="K41" i="57" s="1" a="1"/>
  <c r="K41" i="57" s="1"/>
  <c r="F6" i="57"/>
  <c r="B2" i="57"/>
  <c r="B1" i="57"/>
  <c r="D10" i="2"/>
  <c r="B8" i="2"/>
  <c r="B3" i="58"/>
  <c r="B16" i="2"/>
  <c r="D6" i="2"/>
  <c r="D14" i="2"/>
  <c r="D19" i="2"/>
  <c r="D17" i="2"/>
  <c r="B3" i="57"/>
  <c r="D21" i="2"/>
  <c r="D23" i="2"/>
  <c r="D15" i="2"/>
  <c r="B22" i="2"/>
  <c r="D18" i="2"/>
  <c r="D12" i="2"/>
  <c r="D11" i="2"/>
  <c r="D9" i="2"/>
  <c r="D13" i="2"/>
  <c r="D20" i="2"/>
  <c r="D7" i="2"/>
  <c r="M26" i="57" l="1"/>
  <c r="U26" i="57"/>
  <c r="M25" i="58"/>
  <c r="M26" i="58"/>
  <c r="U26" i="58"/>
  <c r="U25" i="58"/>
  <c r="N25" i="57"/>
  <c r="V25" i="57"/>
  <c r="X26" i="57"/>
  <c r="X25" i="57"/>
  <c r="V25" i="58"/>
  <c r="V26" i="58"/>
  <c r="W25" i="57"/>
  <c r="L26" i="57"/>
  <c r="T26" i="57"/>
  <c r="R26" i="58"/>
  <c r="N25" i="58"/>
  <c r="N26" i="58"/>
  <c r="P26" i="57"/>
  <c r="P25" i="57"/>
  <c r="R25" i="58"/>
  <c r="O25" i="57"/>
  <c r="T25" i="57"/>
  <c r="Q26" i="57"/>
  <c r="Q25" i="57"/>
  <c r="L25" i="58"/>
  <c r="T25" i="58"/>
  <c r="K25" i="57"/>
  <c r="S25" i="57"/>
  <c r="Q25" i="58"/>
  <c r="S26" i="58"/>
  <c r="O26" i="58"/>
  <c r="W26" i="58"/>
  <c r="R26" i="57"/>
  <c r="P26" i="58"/>
  <c r="X26" i="58"/>
  <c r="L10" i="56"/>
  <c r="L11" i="56" s="1"/>
  <c r="N29" i="39"/>
  <c r="N35" i="39"/>
  <c r="N98" i="23" l="1"/>
  <c r="N150" i="14"/>
  <c r="N149" i="14"/>
  <c r="N148" i="14"/>
  <c r="Q155" i="14"/>
  <c r="O148" i="14" s="1"/>
  <c r="N163" i="14" s="1"/>
  <c r="O163" i="14" s="1"/>
  <c r="P163" i="14" s="1"/>
  <c r="Q163" i="14" s="1"/>
  <c r="Q154" i="14"/>
  <c r="Q153" i="14"/>
  <c r="R163" i="14" l="1"/>
  <c r="R164" i="14" s="1"/>
  <c r="Q165" i="14"/>
  <c r="P165" i="14"/>
  <c r="O165" i="14"/>
  <c r="N165" i="14"/>
  <c r="O164" i="14"/>
  <c r="Q164" i="14"/>
  <c r="N164" i="14"/>
  <c r="P164" i="14"/>
  <c r="S163" i="14" l="1"/>
  <c r="R165" i="14"/>
  <c r="R229" i="23"/>
  <c r="N212" i="14"/>
  <c r="N198" i="14"/>
  <c r="N199" i="14" s="1"/>
  <c r="L34" i="55"/>
  <c r="M34" i="55"/>
  <c r="N34" i="55"/>
  <c r="O34" i="55"/>
  <c r="P34" i="55"/>
  <c r="Q34" i="55"/>
  <c r="R34" i="55"/>
  <c r="S34" i="55"/>
  <c r="T34" i="55"/>
  <c r="U34" i="55"/>
  <c r="V34" i="55"/>
  <c r="W34" i="55"/>
  <c r="X34" i="55"/>
  <c r="K34" i="55"/>
  <c r="L34" i="38"/>
  <c r="M34" i="38"/>
  <c r="N34" i="38"/>
  <c r="O34" i="38"/>
  <c r="P34" i="38"/>
  <c r="Q34" i="38"/>
  <c r="R34" i="38"/>
  <c r="S34" i="38"/>
  <c r="T34" i="38"/>
  <c r="U34" i="38"/>
  <c r="V34" i="38"/>
  <c r="W34" i="38"/>
  <c r="X34" i="38"/>
  <c r="K34" i="38"/>
  <c r="K35" i="38" s="1"/>
  <c r="O29" i="56"/>
  <c r="P29" i="56"/>
  <c r="Q29" i="56"/>
  <c r="R29" i="56"/>
  <c r="S29" i="56"/>
  <c r="T29" i="56"/>
  <c r="U29" i="56"/>
  <c r="V29" i="56"/>
  <c r="W29" i="56"/>
  <c r="X29" i="56"/>
  <c r="Y29" i="56"/>
  <c r="Z29" i="56"/>
  <c r="AA29" i="56"/>
  <c r="O30" i="56"/>
  <c r="P30" i="56"/>
  <c r="Q30" i="56"/>
  <c r="R30" i="56"/>
  <c r="S30" i="56"/>
  <c r="T30" i="56"/>
  <c r="U30" i="56"/>
  <c r="V30" i="56"/>
  <c r="W30" i="56"/>
  <c r="X30" i="56"/>
  <c r="Y30" i="56"/>
  <c r="Z30" i="56"/>
  <c r="AA30" i="56"/>
  <c r="N30" i="56"/>
  <c r="N29" i="56"/>
  <c r="K30" i="57" s="1" a="1"/>
  <c r="K31" i="57" l="1" a="1"/>
  <c r="K30" i="57"/>
  <c r="K23" i="57" s="1"/>
  <c r="N23" i="57"/>
  <c r="S23" i="57"/>
  <c r="R23" i="57"/>
  <c r="U23" i="57"/>
  <c r="M23" i="57"/>
  <c r="T23" i="57"/>
  <c r="L23" i="57"/>
  <c r="W23" i="57"/>
  <c r="O23" i="57"/>
  <c r="V23" i="57"/>
  <c r="Q23" i="57"/>
  <c r="P23" i="57"/>
  <c r="X23" i="57"/>
  <c r="T163" i="14"/>
  <c r="S165" i="14"/>
  <c r="S164" i="14"/>
  <c r="K30" i="38" a="1"/>
  <c r="K30" i="38" s="1"/>
  <c r="K31" i="38" a="1"/>
  <c r="K31" i="38" s="1"/>
  <c r="L35" i="56"/>
  <c r="L26" i="56"/>
  <c r="L25" i="56"/>
  <c r="AA17" i="56"/>
  <c r="Z17" i="56"/>
  <c r="Y17" i="56"/>
  <c r="X17" i="56"/>
  <c r="W17" i="56"/>
  <c r="V17" i="56"/>
  <c r="U17" i="56"/>
  <c r="T17" i="56"/>
  <c r="S17" i="56"/>
  <c r="R17" i="56"/>
  <c r="Q17" i="56"/>
  <c r="P17" i="56"/>
  <c r="O17" i="56"/>
  <c r="N17" i="56"/>
  <c r="B2" i="56"/>
  <c r="B1" i="55"/>
  <c r="X39" i="55"/>
  <c r="W39" i="55"/>
  <c r="V39" i="55"/>
  <c r="U39" i="55"/>
  <c r="T39" i="55"/>
  <c r="S39" i="55"/>
  <c r="R39" i="55"/>
  <c r="Q39" i="55"/>
  <c r="P39" i="55"/>
  <c r="O39" i="55"/>
  <c r="N39" i="55"/>
  <c r="M39" i="55"/>
  <c r="L39" i="55"/>
  <c r="K39" i="55"/>
  <c r="X35" i="55"/>
  <c r="W35" i="55"/>
  <c r="V35" i="55"/>
  <c r="U35" i="55"/>
  <c r="T35" i="55"/>
  <c r="S35" i="55"/>
  <c r="R35" i="55"/>
  <c r="Q35" i="55"/>
  <c r="P35" i="55"/>
  <c r="O35" i="55"/>
  <c r="N35" i="55"/>
  <c r="M35" i="55"/>
  <c r="L35" i="55"/>
  <c r="K35" i="55"/>
  <c r="K32" i="55" a="1"/>
  <c r="K32" i="55" s="1"/>
  <c r="X13" i="55"/>
  <c r="X41" i="55" s="1" a="1"/>
  <c r="X41" i="55" s="1"/>
  <c r="W13" i="55"/>
  <c r="W41" i="55" s="1" a="1"/>
  <c r="W41" i="55" s="1"/>
  <c r="V13" i="55"/>
  <c r="V41" i="55" s="1" a="1"/>
  <c r="V41" i="55" s="1"/>
  <c r="U13" i="55"/>
  <c r="U41" i="55" s="1" a="1"/>
  <c r="U41" i="55" s="1"/>
  <c r="T13" i="55"/>
  <c r="T41" i="55" s="1" a="1"/>
  <c r="T41" i="55" s="1"/>
  <c r="S13" i="55"/>
  <c r="S41" i="55" s="1" a="1"/>
  <c r="S41" i="55" s="1"/>
  <c r="R13" i="55"/>
  <c r="R41" i="55" s="1" a="1"/>
  <c r="R41" i="55" s="1"/>
  <c r="Q13" i="55"/>
  <c r="Q41" i="55" s="1" a="1"/>
  <c r="Q41" i="55" s="1"/>
  <c r="P13" i="55"/>
  <c r="P41" i="55" s="1" a="1"/>
  <c r="P41" i="55" s="1"/>
  <c r="O13" i="55"/>
  <c r="O41" i="55" s="1" a="1"/>
  <c r="O41" i="55" s="1"/>
  <c r="N13" i="55"/>
  <c r="N41" i="55" s="1" a="1"/>
  <c r="N41" i="55" s="1"/>
  <c r="M13" i="55"/>
  <c r="M41" i="55" s="1" a="1"/>
  <c r="M41" i="55" s="1"/>
  <c r="L13" i="55"/>
  <c r="L41" i="55" s="1" a="1"/>
  <c r="L41" i="55" s="1"/>
  <c r="K13" i="55"/>
  <c r="K41" i="55" s="1" a="1"/>
  <c r="K41" i="55" s="1"/>
  <c r="F6" i="55"/>
  <c r="B2" i="55"/>
  <c r="B3" i="55"/>
  <c r="B3" i="56"/>
  <c r="M18" i="57" l="1"/>
  <c r="R18" i="57"/>
  <c r="V18" i="57"/>
  <c r="S18" i="57"/>
  <c r="W18" i="57"/>
  <c r="T18" i="57"/>
  <c r="L18" i="57"/>
  <c r="S24" i="57"/>
  <c r="K31" i="57"/>
  <c r="K24" i="57" s="1"/>
  <c r="K18" i="57" s="1"/>
  <c r="R24" i="57"/>
  <c r="M24" i="57"/>
  <c r="V24" i="57"/>
  <c r="T24" i="57"/>
  <c r="O24" i="57"/>
  <c r="O18" i="57" s="1"/>
  <c r="X24" i="57"/>
  <c r="X18" i="57" s="1"/>
  <c r="P24" i="57"/>
  <c r="P18" i="57" s="1"/>
  <c r="U24" i="57"/>
  <c r="U18" i="57" s="1"/>
  <c r="W24" i="57"/>
  <c r="L24" i="57"/>
  <c r="N24" i="57"/>
  <c r="N18" i="57" s="1"/>
  <c r="Q24" i="57"/>
  <c r="Q18" i="57" s="1"/>
  <c r="N20" i="56" a="1"/>
  <c r="N20" i="56" s="1"/>
  <c r="K29" i="58" s="1" a="1"/>
  <c r="K29" i="58" s="1"/>
  <c r="K22" i="58" s="1" a="1"/>
  <c r="U163" i="14"/>
  <c r="T165" i="14"/>
  <c r="T164" i="14"/>
  <c r="L43" i="56"/>
  <c r="L44" i="56" s="1"/>
  <c r="N39" i="56"/>
  <c r="AA39" i="56"/>
  <c r="V39" i="56"/>
  <c r="Y39" i="56"/>
  <c r="Q39" i="56"/>
  <c r="S39" i="56"/>
  <c r="U39" i="56"/>
  <c r="O39" i="56"/>
  <c r="W39" i="56"/>
  <c r="P39" i="56"/>
  <c r="X39" i="56"/>
  <c r="R39" i="56"/>
  <c r="Z39" i="56"/>
  <c r="T39" i="56"/>
  <c r="K8" i="57" l="1" a="1"/>
  <c r="K8" i="57" s="1"/>
  <c r="R17" i="58"/>
  <c r="O17" i="58"/>
  <c r="Q17" i="58"/>
  <c r="K22" i="58"/>
  <c r="K17" i="58" s="1"/>
  <c r="X17" i="58"/>
  <c r="P17" i="58"/>
  <c r="W17" i="58"/>
  <c r="V17" i="58"/>
  <c r="N17" i="58"/>
  <c r="S17" i="58"/>
  <c r="U17" i="58"/>
  <c r="L17" i="58"/>
  <c r="T17" i="58"/>
  <c r="M17" i="58"/>
  <c r="K29" i="55" a="1"/>
  <c r="K29" i="55" s="1"/>
  <c r="V163" i="14"/>
  <c r="U165" i="14"/>
  <c r="U164" i="14"/>
  <c r="K33" i="55" a="1"/>
  <c r="K33" i="55" s="1"/>
  <c r="AC14" i="37"/>
  <c r="AC38" i="37"/>
  <c r="B1" i="38"/>
  <c r="B1" i="37"/>
  <c r="K10" i="54"/>
  <c r="B2" i="54"/>
  <c r="AB63" i="13"/>
  <c r="AB64" i="13"/>
  <c r="AB65" i="13"/>
  <c r="AB66" i="13"/>
  <c r="AB67" i="13"/>
  <c r="AB68" i="13"/>
  <c r="N32" i="14"/>
  <c r="B3" i="54"/>
  <c r="K7" i="58" l="1" a="1"/>
  <c r="V164" i="14"/>
  <c r="W163" i="14"/>
  <c r="V165" i="14"/>
  <c r="K11" i="54"/>
  <c r="L34" i="24"/>
  <c r="L43" i="24"/>
  <c r="L25" i="24"/>
  <c r="M48" i="24"/>
  <c r="M47" i="24"/>
  <c r="M46" i="24"/>
  <c r="M45" i="24"/>
  <c r="M44" i="24"/>
  <c r="M39" i="24"/>
  <c r="M38" i="24"/>
  <c r="M37" i="24"/>
  <c r="M36" i="24"/>
  <c r="M35" i="24"/>
  <c r="M30" i="24"/>
  <c r="M29" i="24"/>
  <c r="M28" i="24"/>
  <c r="M27" i="24"/>
  <c r="M26" i="24"/>
  <c r="K7" i="58" l="1"/>
  <c r="X163" i="14"/>
  <c r="W165" i="14"/>
  <c r="W164" i="14"/>
  <c r="K12" i="54"/>
  <c r="Y163" i="14" l="1"/>
  <c r="X165" i="14"/>
  <c r="X164" i="14"/>
  <c r="K13" i="54"/>
  <c r="K82" i="22"/>
  <c r="X39" i="38"/>
  <c r="W39" i="38"/>
  <c r="V39" i="38"/>
  <c r="U39" i="38"/>
  <c r="T39" i="38"/>
  <c r="S39" i="38"/>
  <c r="R39" i="38"/>
  <c r="Q39" i="38"/>
  <c r="P39" i="38"/>
  <c r="O39" i="38"/>
  <c r="N39" i="38"/>
  <c r="M39" i="38"/>
  <c r="L39" i="38"/>
  <c r="K39" i="38"/>
  <c r="K122" i="37"/>
  <c r="Z163" i="14" l="1"/>
  <c r="Y165" i="14"/>
  <c r="Y164" i="14"/>
  <c r="K14" i="54"/>
  <c r="X122" i="37"/>
  <c r="W122" i="37"/>
  <c r="V122" i="37"/>
  <c r="U122" i="37"/>
  <c r="T122" i="37"/>
  <c r="S122" i="37"/>
  <c r="R122" i="37"/>
  <c r="Q122" i="37"/>
  <c r="P122" i="37"/>
  <c r="O122" i="37"/>
  <c r="N122" i="37"/>
  <c r="M122" i="37"/>
  <c r="L122" i="37"/>
  <c r="X69" i="17"/>
  <c r="W69" i="17"/>
  <c r="V69" i="17"/>
  <c r="U69" i="17"/>
  <c r="T69" i="17"/>
  <c r="S69" i="17"/>
  <c r="R69" i="17"/>
  <c r="Q69" i="17"/>
  <c r="P69" i="17"/>
  <c r="O69" i="17"/>
  <c r="N69" i="17"/>
  <c r="M69" i="17"/>
  <c r="L69" i="17"/>
  <c r="K69" i="17"/>
  <c r="X152" i="49"/>
  <c r="W152" i="49"/>
  <c r="V152" i="49"/>
  <c r="U152" i="49"/>
  <c r="T152" i="49"/>
  <c r="S152" i="49"/>
  <c r="R152" i="49"/>
  <c r="Q152" i="49"/>
  <c r="P152" i="49"/>
  <c r="O152" i="49"/>
  <c r="N152" i="49"/>
  <c r="M152" i="49"/>
  <c r="L152" i="49"/>
  <c r="K152" i="49"/>
  <c r="W14" i="13" a="1"/>
  <c r="W14" i="13" s="1"/>
  <c r="L17" i="19" a="1"/>
  <c r="L17" i="19" s="1"/>
  <c r="L43" i="39" s="1"/>
  <c r="B2" i="19"/>
  <c r="B14" i="21"/>
  <c r="L53" i="39"/>
  <c r="AA35" i="39"/>
  <c r="Z35" i="39"/>
  <c r="Y35" i="39"/>
  <c r="X35" i="39"/>
  <c r="W35" i="39"/>
  <c r="V35" i="39"/>
  <c r="U35" i="39"/>
  <c r="T35" i="39"/>
  <c r="S35" i="39"/>
  <c r="R35" i="39"/>
  <c r="Q35" i="39"/>
  <c r="P35" i="39"/>
  <c r="O35" i="39"/>
  <c r="L11" i="39"/>
  <c r="L24" i="39" s="1"/>
  <c r="N26" i="39" s="1"/>
  <c r="N27" i="39" s="1"/>
  <c r="N30" i="39" s="1"/>
  <c r="B2" i="39"/>
  <c r="N209" i="18"/>
  <c r="O209" i="18" s="1"/>
  <c r="AA200" i="18"/>
  <c r="Z200" i="18"/>
  <c r="Y200" i="18"/>
  <c r="X200" i="18"/>
  <c r="W200" i="18"/>
  <c r="V200" i="18"/>
  <c r="U200" i="18"/>
  <c r="T200" i="18"/>
  <c r="S200" i="18"/>
  <c r="R200" i="18"/>
  <c r="Q200" i="18"/>
  <c r="P200" i="18"/>
  <c r="O200" i="18"/>
  <c r="N200" i="18"/>
  <c r="AA196" i="18"/>
  <c r="Z196" i="18"/>
  <c r="Y196" i="18"/>
  <c r="X196" i="18"/>
  <c r="W196" i="18"/>
  <c r="V196" i="18"/>
  <c r="U196" i="18"/>
  <c r="T196" i="18"/>
  <c r="S196" i="18"/>
  <c r="R196" i="18"/>
  <c r="Q196" i="18"/>
  <c r="P196" i="18"/>
  <c r="O196" i="18"/>
  <c r="N196" i="18"/>
  <c r="N190" i="18"/>
  <c r="X202" i="18" s="1"/>
  <c r="N187" i="18"/>
  <c r="V201" i="18" s="1"/>
  <c r="N183" i="18"/>
  <c r="N180" i="18"/>
  <c r="V173" i="18"/>
  <c r="N173" i="18"/>
  <c r="M162" i="18"/>
  <c r="L162" i="18"/>
  <c r="T170" i="18" s="1"/>
  <c r="T175" i="18" s="1"/>
  <c r="T195" i="18" s="1"/>
  <c r="N145" i="18"/>
  <c r="O144" i="18"/>
  <c r="P144" i="18" s="1"/>
  <c r="M139" i="18"/>
  <c r="AA128" i="18"/>
  <c r="Z128" i="18"/>
  <c r="Y128" i="18"/>
  <c r="X128" i="18"/>
  <c r="W128" i="18"/>
  <c r="V128" i="18"/>
  <c r="U128" i="18"/>
  <c r="T128" i="18"/>
  <c r="S128" i="18"/>
  <c r="R128" i="18"/>
  <c r="Q128" i="18"/>
  <c r="P128" i="18"/>
  <c r="O128" i="18"/>
  <c r="N128" i="18"/>
  <c r="AA127" i="18"/>
  <c r="Z127" i="18"/>
  <c r="Y127" i="18"/>
  <c r="X127" i="18"/>
  <c r="W127" i="18"/>
  <c r="V127" i="18"/>
  <c r="U127" i="18"/>
  <c r="T127" i="18"/>
  <c r="S127" i="18"/>
  <c r="R127" i="18"/>
  <c r="Q127" i="18"/>
  <c r="P127" i="18"/>
  <c r="O127" i="18"/>
  <c r="N127" i="18"/>
  <c r="P121" i="18"/>
  <c r="O121" i="18"/>
  <c r="P118" i="18"/>
  <c r="O118" i="18"/>
  <c r="L104" i="18"/>
  <c r="L103" i="18"/>
  <c r="L102" i="18"/>
  <c r="L98" i="18"/>
  <c r="L97" i="18"/>
  <c r="N94" i="18"/>
  <c r="AA87" i="18"/>
  <c r="Z87" i="18"/>
  <c r="Y87" i="18"/>
  <c r="X87" i="18"/>
  <c r="W87" i="18"/>
  <c r="V87" i="18"/>
  <c r="U87" i="18"/>
  <c r="T87" i="18"/>
  <c r="S87" i="18"/>
  <c r="R87" i="18"/>
  <c r="Q87" i="18"/>
  <c r="P87" i="18"/>
  <c r="O87" i="18"/>
  <c r="N87" i="18"/>
  <c r="N83" i="18"/>
  <c r="N80" i="18"/>
  <c r="V73" i="18"/>
  <c r="M73" i="18"/>
  <c r="M69" i="18"/>
  <c r="AA67" i="18"/>
  <c r="Z67" i="18"/>
  <c r="Y67" i="18"/>
  <c r="X67" i="18"/>
  <c r="W67" i="18"/>
  <c r="V67" i="18"/>
  <c r="U67" i="18"/>
  <c r="T67" i="18"/>
  <c r="S67" i="18"/>
  <c r="R67" i="18"/>
  <c r="Q67" i="18"/>
  <c r="P67" i="18"/>
  <c r="O67" i="18"/>
  <c r="N67" i="18"/>
  <c r="M67" i="18"/>
  <c r="M62" i="18"/>
  <c r="AA52" i="18"/>
  <c r="Z52" i="18"/>
  <c r="Y52" i="18"/>
  <c r="X52" i="18"/>
  <c r="W52" i="18"/>
  <c r="V52" i="18"/>
  <c r="U52" i="18"/>
  <c r="T52" i="18"/>
  <c r="S52" i="18"/>
  <c r="R52" i="18"/>
  <c r="Q52" i="18"/>
  <c r="P52" i="18"/>
  <c r="O52" i="18"/>
  <c r="N52" i="18"/>
  <c r="N48" i="18"/>
  <c r="N45" i="18"/>
  <c r="V39" i="18"/>
  <c r="M39" i="18"/>
  <c r="L35" i="18"/>
  <c r="L36" i="18" s="1"/>
  <c r="AA29" i="18"/>
  <c r="Z29" i="18"/>
  <c r="Y29" i="18"/>
  <c r="X29" i="18"/>
  <c r="W29" i="18"/>
  <c r="V29" i="18"/>
  <c r="U29" i="18"/>
  <c r="T29" i="18"/>
  <c r="S29" i="18"/>
  <c r="R29" i="18"/>
  <c r="Q29" i="18"/>
  <c r="P29" i="18"/>
  <c r="O29" i="18"/>
  <c r="N29" i="18"/>
  <c r="M29" i="18"/>
  <c r="L24" i="18"/>
  <c r="B2" i="18"/>
  <c r="AD230" i="14"/>
  <c r="AD228" i="14"/>
  <c r="AA228" i="14"/>
  <c r="N228" i="14"/>
  <c r="AD227" i="14"/>
  <c r="O227" i="14"/>
  <c r="O228" i="14" s="1"/>
  <c r="AD226" i="14"/>
  <c r="AD225" i="14"/>
  <c r="AA225" i="14"/>
  <c r="Z225" i="14"/>
  <c r="Y225" i="14"/>
  <c r="X225" i="14"/>
  <c r="W225" i="14"/>
  <c r="V225" i="14"/>
  <c r="U225" i="14"/>
  <c r="T225" i="14"/>
  <c r="S225" i="14"/>
  <c r="R225" i="14"/>
  <c r="Q225" i="14"/>
  <c r="P225" i="14"/>
  <c r="O225" i="14"/>
  <c r="N225" i="14"/>
  <c r="AD224" i="14"/>
  <c r="AD223" i="14"/>
  <c r="AD222" i="14"/>
  <c r="AD221" i="14"/>
  <c r="N221" i="14"/>
  <c r="AD220" i="14"/>
  <c r="AD219" i="14"/>
  <c r="AD217" i="14"/>
  <c r="AD216" i="14"/>
  <c r="AD215" i="14"/>
  <c r="AD214" i="14"/>
  <c r="AD213" i="14"/>
  <c r="AD212" i="14"/>
  <c r="AD211" i="14"/>
  <c r="AD210" i="14"/>
  <c r="AD209" i="14"/>
  <c r="AD208" i="14"/>
  <c r="AD207" i="14"/>
  <c r="AD206" i="14"/>
  <c r="AD205" i="14"/>
  <c r="AD204" i="14"/>
  <c r="AD203" i="14"/>
  <c r="AD202" i="14"/>
  <c r="AD201" i="14"/>
  <c r="AD200" i="14"/>
  <c r="S212" i="14"/>
  <c r="AD199" i="14"/>
  <c r="Y214" i="14"/>
  <c r="AD198" i="14"/>
  <c r="AD197" i="14"/>
  <c r="AD196" i="14"/>
  <c r="N196" i="14"/>
  <c r="P213" i="14" s="1"/>
  <c r="AD195" i="14"/>
  <c r="AD194" i="14"/>
  <c r="AD193" i="14"/>
  <c r="AD192" i="14"/>
  <c r="N192" i="14"/>
  <c r="AD191" i="14"/>
  <c r="AD190" i="14"/>
  <c r="AD189" i="14"/>
  <c r="N189" i="14"/>
  <c r="AD188" i="14"/>
  <c r="AD187" i="14"/>
  <c r="AD186" i="14"/>
  <c r="AD185" i="14"/>
  <c r="AD184" i="14"/>
  <c r="AD183" i="14"/>
  <c r="N183" i="14"/>
  <c r="AD182" i="14"/>
  <c r="AD181" i="14"/>
  <c r="AD180" i="14"/>
  <c r="N180" i="14"/>
  <c r="AD179" i="14"/>
  <c r="AD178" i="14"/>
  <c r="AD177" i="14"/>
  <c r="AD176" i="14"/>
  <c r="AD175" i="14"/>
  <c r="N175" i="14"/>
  <c r="AD174" i="14"/>
  <c r="AD173" i="14"/>
  <c r="AA173" i="14"/>
  <c r="Z173" i="14"/>
  <c r="Y173" i="14"/>
  <c r="X173" i="14"/>
  <c r="W173" i="14"/>
  <c r="V173" i="14"/>
  <c r="U173" i="14"/>
  <c r="T173" i="14"/>
  <c r="S173" i="14"/>
  <c r="R173" i="14"/>
  <c r="Q173" i="14"/>
  <c r="P173" i="14"/>
  <c r="O173" i="14"/>
  <c r="N173" i="14"/>
  <c r="AD172" i="14"/>
  <c r="AD171" i="14"/>
  <c r="AD170" i="14"/>
  <c r="AD169" i="14"/>
  <c r="AD168" i="14"/>
  <c r="AD167" i="14"/>
  <c r="AD166" i="14"/>
  <c r="AD165" i="14"/>
  <c r="AD164" i="14"/>
  <c r="AD163" i="14"/>
  <c r="AD162" i="14"/>
  <c r="AD161" i="14"/>
  <c r="AD160" i="14"/>
  <c r="AD159" i="14"/>
  <c r="AD158" i="14"/>
  <c r="AD157" i="14"/>
  <c r="AD156" i="14"/>
  <c r="AD150" i="14"/>
  <c r="AD149" i="14"/>
  <c r="AD148" i="14"/>
  <c r="AD147" i="14"/>
  <c r="AD146" i="14"/>
  <c r="AD145" i="14"/>
  <c r="N145" i="14"/>
  <c r="P161" i="14" s="1"/>
  <c r="AD144" i="14"/>
  <c r="AD143" i="14"/>
  <c r="AD142" i="14"/>
  <c r="N142" i="14"/>
  <c r="S160" i="14" s="1"/>
  <c r="AD141" i="14"/>
  <c r="AD140" i="14"/>
  <c r="AD139" i="14"/>
  <c r="AD138" i="14"/>
  <c r="AD137" i="14"/>
  <c r="N137" i="14"/>
  <c r="AD136" i="14"/>
  <c r="AD135" i="14"/>
  <c r="AD134" i="14"/>
  <c r="AD133" i="14"/>
  <c r="AD132" i="14"/>
  <c r="AD131" i="14"/>
  <c r="AD130" i="14"/>
  <c r="AD129" i="14"/>
  <c r="AD128" i="14"/>
  <c r="AD127" i="14"/>
  <c r="AD126" i="14"/>
  <c r="AD125" i="14"/>
  <c r="AD124" i="14"/>
  <c r="AD123" i="14"/>
  <c r="AD122" i="14"/>
  <c r="L122" i="14"/>
  <c r="AD121" i="14"/>
  <c r="AD120" i="14"/>
  <c r="M120" i="14"/>
  <c r="AD119" i="14"/>
  <c r="AD118" i="14"/>
  <c r="AD117" i="14"/>
  <c r="AD116" i="14"/>
  <c r="AD115" i="14"/>
  <c r="AD114" i="14"/>
  <c r="AD113" i="14"/>
  <c r="AD112" i="14"/>
  <c r="AD111" i="14"/>
  <c r="AD110" i="14"/>
  <c r="AD109" i="14"/>
  <c r="AD108" i="14"/>
  <c r="AD107" i="14"/>
  <c r="AD106" i="14"/>
  <c r="AD105" i="14"/>
  <c r="AD104" i="14"/>
  <c r="AD103" i="14"/>
  <c r="AD102" i="14"/>
  <c r="AD101" i="14"/>
  <c r="AD100" i="14"/>
  <c r="AD99" i="14"/>
  <c r="AD98" i="14"/>
  <c r="O98" i="14"/>
  <c r="N98" i="14"/>
  <c r="AD97" i="14"/>
  <c r="AD96" i="14"/>
  <c r="AD95" i="14"/>
  <c r="O95" i="14"/>
  <c r="N95" i="14"/>
  <c r="AD94" i="14"/>
  <c r="AD93" i="14"/>
  <c r="AD92" i="14"/>
  <c r="AD91" i="14"/>
  <c r="AD90" i="14"/>
  <c r="AD89" i="14"/>
  <c r="AD88" i="14"/>
  <c r="AD87" i="14"/>
  <c r="AD86" i="14"/>
  <c r="AD85" i="14"/>
  <c r="AD84" i="14"/>
  <c r="AD83" i="14"/>
  <c r="N83" i="14"/>
  <c r="AD82" i="14"/>
  <c r="N82" i="14"/>
  <c r="AD81" i="14"/>
  <c r="AD80" i="14"/>
  <c r="N80" i="14"/>
  <c r="AD79" i="14"/>
  <c r="AD78" i="14"/>
  <c r="M78" i="14"/>
  <c r="AD77" i="14"/>
  <c r="AD76" i="14"/>
  <c r="AD75" i="14"/>
  <c r="M75" i="14"/>
  <c r="AD74" i="14"/>
  <c r="AD73" i="14"/>
  <c r="AD72" i="14"/>
  <c r="AD71" i="14"/>
  <c r="AD70" i="14"/>
  <c r="AD69" i="14"/>
  <c r="AD68" i="14"/>
  <c r="AD67" i="14"/>
  <c r="AD66" i="14"/>
  <c r="AA66" i="14"/>
  <c r="Z66" i="14"/>
  <c r="Y66" i="14"/>
  <c r="X66" i="14"/>
  <c r="W66" i="14"/>
  <c r="V66" i="14"/>
  <c r="U66" i="14"/>
  <c r="T66" i="14"/>
  <c r="S66" i="14"/>
  <c r="R66" i="14"/>
  <c r="Q66" i="14"/>
  <c r="P66" i="14"/>
  <c r="O66" i="14"/>
  <c r="N66" i="14"/>
  <c r="AD65" i="14"/>
  <c r="AD64" i="14"/>
  <c r="AD63" i="14"/>
  <c r="AD62" i="14"/>
  <c r="N62" i="14"/>
  <c r="AD61" i="14"/>
  <c r="AD60" i="14"/>
  <c r="AD59" i="14"/>
  <c r="N59" i="14"/>
  <c r="AD58" i="14"/>
  <c r="AD57" i="14"/>
  <c r="AD56" i="14"/>
  <c r="AD55" i="14"/>
  <c r="AD54" i="14"/>
  <c r="AD53" i="14"/>
  <c r="AD52" i="14"/>
  <c r="AD51" i="14"/>
  <c r="M51" i="14"/>
  <c r="AD50" i="14"/>
  <c r="AD49" i="14"/>
  <c r="AD48" i="14"/>
  <c r="AD47" i="14"/>
  <c r="AD46" i="14"/>
  <c r="AD45" i="14"/>
  <c r="AD44" i="14"/>
  <c r="AD43" i="14"/>
  <c r="N43" i="14"/>
  <c r="AD42" i="14"/>
  <c r="AD41" i="14"/>
  <c r="AD40" i="14"/>
  <c r="AD39" i="14"/>
  <c r="AD38" i="14"/>
  <c r="AD37" i="14"/>
  <c r="AD36" i="14"/>
  <c r="AA36" i="14"/>
  <c r="Z36" i="14"/>
  <c r="Y36" i="14"/>
  <c r="X36" i="14"/>
  <c r="W36" i="14"/>
  <c r="V36" i="14"/>
  <c r="U36" i="14"/>
  <c r="T36" i="14"/>
  <c r="S36" i="14"/>
  <c r="R36" i="14"/>
  <c r="Q36" i="14"/>
  <c r="P36" i="14"/>
  <c r="O36" i="14"/>
  <c r="N36" i="14"/>
  <c r="AD35" i="14"/>
  <c r="AD34" i="14"/>
  <c r="AD33" i="14"/>
  <c r="AD32" i="14"/>
  <c r="AD31" i="14"/>
  <c r="AD30" i="14"/>
  <c r="AD29" i="14"/>
  <c r="N29" i="14"/>
  <c r="AD28" i="14"/>
  <c r="AD27" i="14"/>
  <c r="AD26" i="14"/>
  <c r="AD25" i="14"/>
  <c r="AD24" i="14"/>
  <c r="AD23" i="14"/>
  <c r="AD22" i="14"/>
  <c r="AD21" i="14"/>
  <c r="AD20" i="14"/>
  <c r="M20" i="14"/>
  <c r="AD19" i="14"/>
  <c r="AD18" i="14"/>
  <c r="AD17" i="14"/>
  <c r="AD16" i="14"/>
  <c r="AD15" i="14"/>
  <c r="AD14" i="14"/>
  <c r="AD13" i="14"/>
  <c r="AD12" i="14"/>
  <c r="AD11" i="14"/>
  <c r="AD10" i="14"/>
  <c r="K13" i="14" s="1"/>
  <c r="AD9" i="14"/>
  <c r="N9" i="14"/>
  <c r="AD8" i="14"/>
  <c r="AD7" i="14"/>
  <c r="AD6" i="14"/>
  <c r="B2" i="14"/>
  <c r="AE287" i="23"/>
  <c r="R287" i="23"/>
  <c r="S286" i="23"/>
  <c r="S287" i="23" s="1"/>
  <c r="M265" i="23"/>
  <c r="L265" i="23"/>
  <c r="M264" i="23"/>
  <c r="L264" i="23"/>
  <c r="N254" i="23"/>
  <c r="N253" i="23"/>
  <c r="N252" i="23"/>
  <c r="N251" i="23"/>
  <c r="N250" i="23"/>
  <c r="N249" i="23"/>
  <c r="N248" i="23"/>
  <c r="N246" i="23"/>
  <c r="N245" i="23"/>
  <c r="N244" i="23"/>
  <c r="N243" i="23"/>
  <c r="AE218" i="23"/>
  <c r="AD218" i="23"/>
  <c r="AC218" i="23"/>
  <c r="AB218" i="23"/>
  <c r="AA218" i="23"/>
  <c r="Z218" i="23"/>
  <c r="Y218" i="23"/>
  <c r="X218" i="23"/>
  <c r="W218" i="23"/>
  <c r="V218" i="23"/>
  <c r="U218" i="23"/>
  <c r="T218" i="23"/>
  <c r="S218" i="23"/>
  <c r="R218" i="23"/>
  <c r="AE202" i="23"/>
  <c r="AD202" i="23"/>
  <c r="AC202" i="23"/>
  <c r="AB202" i="23"/>
  <c r="AA202" i="23"/>
  <c r="Z202" i="23"/>
  <c r="Y202" i="23"/>
  <c r="X202" i="23"/>
  <c r="W202" i="23"/>
  <c r="V202" i="23"/>
  <c r="U202" i="23"/>
  <c r="T202" i="23"/>
  <c r="S202" i="23"/>
  <c r="R202" i="23"/>
  <c r="Q202" i="23"/>
  <c r="P202" i="23"/>
  <c r="O202" i="23"/>
  <c r="N202" i="23"/>
  <c r="M202" i="23"/>
  <c r="M201" i="23"/>
  <c r="N201" i="23" s="1"/>
  <c r="O201" i="23" s="1"/>
  <c r="P201" i="23" s="1"/>
  <c r="Q201" i="23" s="1"/>
  <c r="R201" i="23" s="1"/>
  <c r="R272" i="23" s="1"/>
  <c r="AE200" i="23"/>
  <c r="AD200" i="23"/>
  <c r="AC200" i="23"/>
  <c r="AB200" i="23"/>
  <c r="AA200" i="23"/>
  <c r="Z200" i="23"/>
  <c r="Y200" i="23"/>
  <c r="X200" i="23"/>
  <c r="W200" i="23"/>
  <c r="V200" i="23"/>
  <c r="U200" i="23"/>
  <c r="T200" i="23"/>
  <c r="S200" i="23"/>
  <c r="R200" i="23"/>
  <c r="Q200" i="23"/>
  <c r="P200" i="23"/>
  <c r="O200" i="23"/>
  <c r="N200" i="23"/>
  <c r="M200" i="23"/>
  <c r="N148" i="23"/>
  <c r="N147" i="23"/>
  <c r="N146" i="23"/>
  <c r="N144" i="23"/>
  <c r="N143" i="23"/>
  <c r="N142" i="23"/>
  <c r="L141" i="23"/>
  <c r="N133" i="23"/>
  <c r="N132" i="23"/>
  <c r="N129" i="23"/>
  <c r="N128" i="23"/>
  <c r="N127" i="23"/>
  <c r="L126" i="23"/>
  <c r="N121" i="23"/>
  <c r="N117" i="23"/>
  <c r="N113" i="23"/>
  <c r="N107" i="23"/>
  <c r="N103" i="23"/>
  <c r="N102" i="23"/>
  <c r="L97" i="23"/>
  <c r="M93" i="23"/>
  <c r="R69" i="23" s="1" a="1"/>
  <c r="L92" i="23"/>
  <c r="M92" i="23" s="1"/>
  <c r="R74" i="23" s="1" a="1"/>
  <c r="L91" i="23"/>
  <c r="M91" i="23" s="1"/>
  <c r="R73" i="23" s="1" a="1"/>
  <c r="L90" i="23"/>
  <c r="M90" i="23" s="1"/>
  <c r="R70" i="23" s="1" a="1"/>
  <c r="R70" i="23" s="1"/>
  <c r="L89" i="23"/>
  <c r="M89" i="23" s="1"/>
  <c r="R71" i="23" s="1" a="1"/>
  <c r="Q72" i="23"/>
  <c r="P14" i="23"/>
  <c r="O14" i="23"/>
  <c r="N14" i="23"/>
  <c r="M14" i="23"/>
  <c r="P13" i="23"/>
  <c r="O13" i="23"/>
  <c r="N13" i="23"/>
  <c r="M13" i="23"/>
  <c r="P12" i="23"/>
  <c r="O12" i="23"/>
  <c r="N12" i="23"/>
  <c r="M12" i="23"/>
  <c r="B2" i="23"/>
  <c r="B14" i="26"/>
  <c r="X35" i="38"/>
  <c r="W35" i="38"/>
  <c r="V35" i="38"/>
  <c r="U35" i="38"/>
  <c r="T35" i="38"/>
  <c r="S35" i="38"/>
  <c r="R35" i="38"/>
  <c r="Q35" i="38"/>
  <c r="P35" i="38"/>
  <c r="O35" i="38"/>
  <c r="N35" i="38"/>
  <c r="M35" i="38"/>
  <c r="L35" i="38"/>
  <c r="K32" i="38" a="1"/>
  <c r="K32" i="38" s="1"/>
  <c r="X13" i="38"/>
  <c r="X41" i="38" s="1" a="1"/>
  <c r="X41" i="38" s="1"/>
  <c r="W13" i="38"/>
  <c r="W41" i="38" s="1" a="1"/>
  <c r="W41" i="38" s="1"/>
  <c r="V13" i="38"/>
  <c r="V41" i="38" s="1" a="1"/>
  <c r="V41" i="38" s="1"/>
  <c r="U13" i="38"/>
  <c r="U41" i="38" s="1" a="1"/>
  <c r="U41" i="38" s="1"/>
  <c r="T13" i="38"/>
  <c r="T41" i="38" s="1" a="1"/>
  <c r="T41" i="38" s="1"/>
  <c r="S13" i="38"/>
  <c r="S41" i="38" s="1" a="1"/>
  <c r="S41" i="38" s="1"/>
  <c r="R13" i="38"/>
  <c r="R41" i="38" s="1" a="1"/>
  <c r="R41" i="38" s="1"/>
  <c r="Q13" i="38"/>
  <c r="Q41" i="38" s="1" a="1"/>
  <c r="Q41" i="38" s="1"/>
  <c r="P13" i="38"/>
  <c r="P41" i="38" s="1" a="1"/>
  <c r="P41" i="38" s="1"/>
  <c r="O13" i="38"/>
  <c r="O41" i="38" s="1" a="1"/>
  <c r="O41" i="38" s="1"/>
  <c r="N13" i="38"/>
  <c r="N41" i="38" s="1" a="1"/>
  <c r="N41" i="38" s="1"/>
  <c r="M13" i="38"/>
  <c r="M41" i="38" s="1" a="1"/>
  <c r="M41" i="38" s="1"/>
  <c r="L13" i="38"/>
  <c r="L41" i="38" s="1" a="1"/>
  <c r="L41" i="38" s="1"/>
  <c r="K13" i="38"/>
  <c r="K41" i="38" s="1" a="1"/>
  <c r="K41" i="38" s="1"/>
  <c r="F6" i="38"/>
  <c r="B2" i="38"/>
  <c r="K110" i="37" a="1"/>
  <c r="K110" i="37" s="1"/>
  <c r="K109" i="37" a="1"/>
  <c r="K109" i="37" s="1"/>
  <c r="K81" i="37" a="1"/>
  <c r="K81" i="37" s="1"/>
  <c r="G66" i="37"/>
  <c r="G35" i="37"/>
  <c r="X22" i="37"/>
  <c r="W22" i="37"/>
  <c r="V22" i="37"/>
  <c r="U22" i="37"/>
  <c r="T22" i="37"/>
  <c r="S22" i="37"/>
  <c r="R22" i="37"/>
  <c r="Q22" i="37"/>
  <c r="P22" i="37"/>
  <c r="O22" i="37"/>
  <c r="N22" i="37"/>
  <c r="M22" i="37"/>
  <c r="L22" i="37"/>
  <c r="K22" i="37"/>
  <c r="G10" i="37"/>
  <c r="G6" i="37"/>
  <c r="B2" i="37"/>
  <c r="K144" i="49" a="1"/>
  <c r="K144" i="49" s="1"/>
  <c r="K143" i="49" a="1"/>
  <c r="K143" i="49" s="1"/>
  <c r="X123" i="49"/>
  <c r="W123" i="49"/>
  <c r="V123" i="49"/>
  <c r="U123" i="49"/>
  <c r="T123" i="49"/>
  <c r="S123" i="49"/>
  <c r="R123" i="49"/>
  <c r="Q123" i="49"/>
  <c r="P123" i="49"/>
  <c r="O123" i="49"/>
  <c r="N123" i="49"/>
  <c r="M123" i="49"/>
  <c r="L123" i="49"/>
  <c r="K123" i="49"/>
  <c r="X122" i="49" a="1"/>
  <c r="X122" i="49" s="1"/>
  <c r="X90" i="49" s="1"/>
  <c r="W122" i="49" a="1"/>
  <c r="W122" i="49" s="1"/>
  <c r="W90" i="49" s="1"/>
  <c r="V122" i="49" a="1"/>
  <c r="V122" i="49" s="1"/>
  <c r="V90" i="49" s="1"/>
  <c r="U122" i="49" a="1"/>
  <c r="U122" i="49" s="1"/>
  <c r="U90" i="49" s="1"/>
  <c r="T122" i="49" a="1"/>
  <c r="T122" i="49" s="1"/>
  <c r="T90" i="49" s="1"/>
  <c r="S122" i="49" a="1"/>
  <c r="S122" i="49" s="1"/>
  <c r="S90" i="49" s="1"/>
  <c r="R122" i="49" a="1"/>
  <c r="R122" i="49" s="1"/>
  <c r="R90" i="49" s="1"/>
  <c r="Q122" i="49" a="1"/>
  <c r="Q122" i="49" s="1"/>
  <c r="Q90" i="49" s="1"/>
  <c r="P122" i="49" a="1"/>
  <c r="P122" i="49" s="1"/>
  <c r="P90" i="49" s="1"/>
  <c r="O122" i="49" a="1"/>
  <c r="O122" i="49" s="1"/>
  <c r="O90" i="49" s="1"/>
  <c r="N122" i="49" a="1"/>
  <c r="N122" i="49" s="1"/>
  <c r="N90" i="49" s="1"/>
  <c r="M122" i="49" a="1"/>
  <c r="M122" i="49" s="1"/>
  <c r="M90" i="49" s="1"/>
  <c r="L122" i="49" a="1"/>
  <c r="L122" i="49" s="1"/>
  <c r="L90" i="49" s="1"/>
  <c r="K122" i="49" a="1"/>
  <c r="K122" i="49" s="1"/>
  <c r="K90" i="49" s="1"/>
  <c r="X121" i="49" a="1"/>
  <c r="X121" i="49" s="1"/>
  <c r="W121" i="49" a="1"/>
  <c r="W121" i="49" s="1"/>
  <c r="V121" i="49" a="1"/>
  <c r="V121" i="49" s="1"/>
  <c r="U121" i="49" a="1"/>
  <c r="U121" i="49" s="1"/>
  <c r="T121" i="49" a="1"/>
  <c r="T121" i="49" s="1"/>
  <c r="S121" i="49" a="1"/>
  <c r="S121" i="49" s="1"/>
  <c r="R121" i="49" a="1"/>
  <c r="R121" i="49" s="1"/>
  <c r="Q121" i="49" a="1"/>
  <c r="Q121" i="49" s="1"/>
  <c r="P121" i="49" a="1"/>
  <c r="P121" i="49" s="1"/>
  <c r="O121" i="49" a="1"/>
  <c r="O121" i="49" s="1"/>
  <c r="N121" i="49" a="1"/>
  <c r="N121" i="49" s="1"/>
  <c r="M121" i="49" a="1"/>
  <c r="M121" i="49" s="1"/>
  <c r="L121" i="49" a="1"/>
  <c r="L121" i="49" s="1"/>
  <c r="K121" i="49" a="1"/>
  <c r="K121" i="49" s="1"/>
  <c r="G81" i="49"/>
  <c r="X75" i="49"/>
  <c r="W75" i="49"/>
  <c r="V75" i="49"/>
  <c r="U75" i="49"/>
  <c r="T75" i="49"/>
  <c r="S75" i="49"/>
  <c r="R75" i="49"/>
  <c r="Q75" i="49"/>
  <c r="P75" i="49"/>
  <c r="O75" i="49"/>
  <c r="N75" i="49"/>
  <c r="M75" i="49"/>
  <c r="L75" i="49"/>
  <c r="K75" i="49"/>
  <c r="I67" i="49"/>
  <c r="I57" i="49"/>
  <c r="H51" i="49"/>
  <c r="H43" i="49"/>
  <c r="H36" i="49"/>
  <c r="G34" i="49"/>
  <c r="X21" i="49"/>
  <c r="W21" i="49"/>
  <c r="V21" i="49"/>
  <c r="U21" i="49"/>
  <c r="T21" i="49"/>
  <c r="S21" i="49"/>
  <c r="R21" i="49"/>
  <c r="Q21" i="49"/>
  <c r="P21" i="49"/>
  <c r="O21" i="49"/>
  <c r="N21" i="49"/>
  <c r="M21" i="49"/>
  <c r="L21" i="49"/>
  <c r="K21" i="49"/>
  <c r="X20" i="49"/>
  <c r="W20" i="49"/>
  <c r="V20" i="49"/>
  <c r="U20" i="49"/>
  <c r="T20" i="49"/>
  <c r="S20" i="49"/>
  <c r="R20" i="49"/>
  <c r="Q20" i="49"/>
  <c r="P20" i="49"/>
  <c r="O20" i="49"/>
  <c r="N20" i="49"/>
  <c r="M20" i="49"/>
  <c r="L20" i="49"/>
  <c r="K20" i="49"/>
  <c r="X16" i="49" a="1"/>
  <c r="X16" i="49" s="1"/>
  <c r="W16" i="49" a="1"/>
  <c r="W16" i="49" s="1"/>
  <c r="V16" i="49" a="1"/>
  <c r="V16" i="49" s="1"/>
  <c r="U16" i="49" a="1"/>
  <c r="U16" i="49" s="1"/>
  <c r="T16" i="49" a="1"/>
  <c r="T16" i="49" s="1"/>
  <c r="S16" i="49" a="1"/>
  <c r="S16" i="49" s="1"/>
  <c r="R16" i="49" a="1"/>
  <c r="R16" i="49" s="1"/>
  <c r="Q16" i="49" a="1"/>
  <c r="Q16" i="49" s="1"/>
  <c r="P16" i="49" a="1"/>
  <c r="P16" i="49" s="1"/>
  <c r="O16" i="49" a="1"/>
  <c r="O16" i="49" s="1"/>
  <c r="N16" i="49" a="1"/>
  <c r="N16" i="49" s="1"/>
  <c r="M16" i="49" a="1"/>
  <c r="M16" i="49" s="1"/>
  <c r="L16" i="49" a="1"/>
  <c r="L16" i="49" s="1"/>
  <c r="K16" i="49" a="1"/>
  <c r="K16" i="49" s="1"/>
  <c r="X13" i="49"/>
  <c r="W13" i="49"/>
  <c r="V13" i="49"/>
  <c r="U13" i="49"/>
  <c r="T13" i="49"/>
  <c r="S13" i="49"/>
  <c r="R13" i="49"/>
  <c r="Q13" i="49"/>
  <c r="P13" i="49"/>
  <c r="O13" i="49"/>
  <c r="N13" i="49"/>
  <c r="M13" i="49"/>
  <c r="L13" i="49"/>
  <c r="K13" i="49"/>
  <c r="F10" i="49"/>
  <c r="F6" i="49"/>
  <c r="B2" i="49"/>
  <c r="B1" i="49"/>
  <c r="K60" i="17" a="1"/>
  <c r="K60" i="17" s="1"/>
  <c r="X53" i="17"/>
  <c r="W53" i="17"/>
  <c r="V53" i="17"/>
  <c r="U53" i="17"/>
  <c r="T53" i="17"/>
  <c r="S53" i="17"/>
  <c r="R53" i="17"/>
  <c r="Q53" i="17"/>
  <c r="P53" i="17"/>
  <c r="O53" i="17"/>
  <c r="N53" i="17"/>
  <c r="M53" i="17"/>
  <c r="L53" i="17"/>
  <c r="K53" i="17"/>
  <c r="H42" i="17"/>
  <c r="X38" i="17"/>
  <c r="W38" i="17"/>
  <c r="V38" i="17"/>
  <c r="U38" i="17"/>
  <c r="T38" i="17"/>
  <c r="S38" i="17"/>
  <c r="R38" i="17"/>
  <c r="Q38" i="17"/>
  <c r="P38" i="17"/>
  <c r="O38" i="17"/>
  <c r="N38" i="17"/>
  <c r="M38" i="17"/>
  <c r="L38" i="17"/>
  <c r="K38" i="17"/>
  <c r="H26" i="17"/>
  <c r="L18" i="17"/>
  <c r="M18" i="17" s="1"/>
  <c r="N18" i="17" s="1"/>
  <c r="O18" i="17" s="1"/>
  <c r="P18" i="17" s="1"/>
  <c r="Q18" i="17" s="1"/>
  <c r="R18" i="17" s="1"/>
  <c r="S18" i="17" s="1"/>
  <c r="T18" i="17" s="1"/>
  <c r="U18" i="17" s="1"/>
  <c r="V18" i="17" s="1"/>
  <c r="W18" i="17" s="1"/>
  <c r="X18" i="17" s="1"/>
  <c r="X14" i="17"/>
  <c r="X15" i="17" s="1"/>
  <c r="W14" i="17"/>
  <c r="W15" i="17" s="1"/>
  <c r="V14" i="17"/>
  <c r="V15" i="17" s="1"/>
  <c r="U14" i="17"/>
  <c r="U15" i="17" s="1"/>
  <c r="T14" i="17"/>
  <c r="T15" i="17" s="1"/>
  <c r="S14" i="17"/>
  <c r="S15" i="17" s="1"/>
  <c r="R14" i="17"/>
  <c r="R15" i="17" s="1"/>
  <c r="Q14" i="17"/>
  <c r="Q15" i="17" s="1"/>
  <c r="P14" i="17"/>
  <c r="P15" i="17" s="1"/>
  <c r="O14" i="17"/>
  <c r="O15" i="17" s="1"/>
  <c r="N14" i="17"/>
  <c r="N15" i="17" s="1"/>
  <c r="M14" i="17"/>
  <c r="M15" i="17" s="1"/>
  <c r="L14" i="17"/>
  <c r="L15" i="17" s="1"/>
  <c r="K14" i="17"/>
  <c r="K15" i="17" s="1"/>
  <c r="G12" i="17"/>
  <c r="G6" i="17"/>
  <c r="B2" i="17"/>
  <c r="B1" i="17"/>
  <c r="AB85" i="22"/>
  <c r="AB84" i="22"/>
  <c r="AB83" i="22"/>
  <c r="AB82" i="22"/>
  <c r="X82" i="22"/>
  <c r="W82" i="22"/>
  <c r="V82" i="22"/>
  <c r="U82" i="22"/>
  <c r="T82" i="22"/>
  <c r="S82" i="22"/>
  <c r="R82" i="22"/>
  <c r="Q82" i="22"/>
  <c r="P82" i="22"/>
  <c r="O82" i="22"/>
  <c r="N82" i="22"/>
  <c r="M82" i="22"/>
  <c r="L82" i="22"/>
  <c r="AB81" i="22"/>
  <c r="AB80" i="22"/>
  <c r="AB79" i="22"/>
  <c r="X79" i="22"/>
  <c r="W79" i="22"/>
  <c r="V79" i="22"/>
  <c r="U79" i="22"/>
  <c r="T79" i="22"/>
  <c r="S79" i="22"/>
  <c r="R79" i="22"/>
  <c r="Q79" i="22"/>
  <c r="P79" i="22"/>
  <c r="O79" i="22"/>
  <c r="N79" i="22"/>
  <c r="M79" i="22"/>
  <c r="L79" i="22"/>
  <c r="K79" i="22"/>
  <c r="AB78" i="22"/>
  <c r="X78" i="22" a="1"/>
  <c r="X78" i="22" s="1"/>
  <c r="X49" i="22" s="1"/>
  <c r="W78" i="22" a="1"/>
  <c r="W78" i="22" s="1"/>
  <c r="W49" i="22" s="1"/>
  <c r="V78" i="22" a="1"/>
  <c r="V78" i="22" s="1"/>
  <c r="V49" i="22" s="1"/>
  <c r="U78" i="22" a="1"/>
  <c r="U78" i="22" s="1"/>
  <c r="U49" i="22" s="1"/>
  <c r="T78" i="22" a="1"/>
  <c r="T78" i="22" s="1"/>
  <c r="T49" i="22" s="1"/>
  <c r="S78" i="22" a="1"/>
  <c r="S78" i="22" s="1"/>
  <c r="S49" i="22" s="1"/>
  <c r="R78" i="22" a="1"/>
  <c r="R78" i="22" s="1"/>
  <c r="R49" i="22" s="1"/>
  <c r="Q78" i="22" a="1"/>
  <c r="Q78" i="22" s="1"/>
  <c r="Q49" i="22" s="1"/>
  <c r="P78" i="22" a="1"/>
  <c r="P78" i="22" s="1"/>
  <c r="P49" i="22" s="1"/>
  <c r="O78" i="22" a="1"/>
  <c r="O78" i="22" s="1"/>
  <c r="O49" i="22" s="1"/>
  <c r="N78" i="22" a="1"/>
  <c r="N78" i="22" s="1"/>
  <c r="N49" i="22" s="1"/>
  <c r="M78" i="22" a="1"/>
  <c r="M78" i="22" s="1"/>
  <c r="M49" i="22" s="1"/>
  <c r="L78" i="22" a="1"/>
  <c r="L78" i="22" s="1"/>
  <c r="L49" i="22" s="1"/>
  <c r="K78" i="22" a="1"/>
  <c r="K78" i="22" s="1"/>
  <c r="K49" i="22" s="1"/>
  <c r="AB77" i="22"/>
  <c r="X77" i="22" a="1"/>
  <c r="X77" i="22" s="1"/>
  <c r="W77" i="22" a="1"/>
  <c r="W77" i="22" s="1"/>
  <c r="V77" i="22" a="1"/>
  <c r="V77" i="22" s="1"/>
  <c r="U77" i="22" a="1"/>
  <c r="U77" i="22" s="1"/>
  <c r="T77" i="22" a="1"/>
  <c r="T77" i="22" s="1"/>
  <c r="S77" i="22" a="1"/>
  <c r="S77" i="22" s="1"/>
  <c r="R77" i="22" a="1"/>
  <c r="R77" i="22" s="1"/>
  <c r="Q77" i="22" a="1"/>
  <c r="Q77" i="22" s="1"/>
  <c r="P77" i="22" a="1"/>
  <c r="P77" i="22" s="1"/>
  <c r="O77" i="22" a="1"/>
  <c r="O77" i="22" s="1"/>
  <c r="N77" i="22" a="1"/>
  <c r="N77" i="22" s="1"/>
  <c r="M77" i="22" a="1"/>
  <c r="M77" i="22" s="1"/>
  <c r="L77" i="22" a="1"/>
  <c r="L77" i="22" s="1"/>
  <c r="K77" i="22" a="1"/>
  <c r="K77" i="22" s="1"/>
  <c r="AB76" i="22"/>
  <c r="AB75" i="22"/>
  <c r="AB74" i="22"/>
  <c r="AB73" i="22"/>
  <c r="AB72" i="22"/>
  <c r="AB71" i="22"/>
  <c r="AB70" i="22"/>
  <c r="AB69" i="22"/>
  <c r="AB68" i="22"/>
  <c r="AB67" i="22"/>
  <c r="AB66" i="22"/>
  <c r="AB65" i="22"/>
  <c r="AB64" i="22"/>
  <c r="AB63" i="22"/>
  <c r="AB62" i="22"/>
  <c r="AB61" i="22"/>
  <c r="AB60" i="22"/>
  <c r="AB59" i="22"/>
  <c r="AB58" i="22"/>
  <c r="AB57" i="22"/>
  <c r="AB56" i="22"/>
  <c r="AB55" i="22"/>
  <c r="AB54" i="22"/>
  <c r="AB53" i="22"/>
  <c r="AB52" i="22"/>
  <c r="AB51" i="22"/>
  <c r="AB50" i="22"/>
  <c r="AB49" i="22"/>
  <c r="AB48" i="22"/>
  <c r="AB47" i="22"/>
  <c r="AB46" i="22"/>
  <c r="AB45" i="22"/>
  <c r="AB44" i="22"/>
  <c r="AB43" i="22"/>
  <c r="AB42" i="22"/>
  <c r="G42" i="22"/>
  <c r="AB41" i="22"/>
  <c r="AB40" i="22"/>
  <c r="AB39" i="22"/>
  <c r="AB38" i="22"/>
  <c r="AB37" i="22"/>
  <c r="H37" i="22"/>
  <c r="AB36" i="22"/>
  <c r="AB35" i="22"/>
  <c r="AB34" i="22"/>
  <c r="AB33" i="22"/>
  <c r="AB32" i="22"/>
  <c r="AB31" i="22"/>
  <c r="AB30" i="22"/>
  <c r="H30" i="22"/>
  <c r="AB29" i="22"/>
  <c r="AB28" i="22"/>
  <c r="AB27" i="22"/>
  <c r="AB26" i="22"/>
  <c r="AB25" i="22"/>
  <c r="AB24" i="22"/>
  <c r="AB23" i="22"/>
  <c r="H23" i="22"/>
  <c r="AB22" i="22"/>
  <c r="G22" i="22"/>
  <c r="AB21" i="22"/>
  <c r="AB20" i="22"/>
  <c r="AB19" i="22"/>
  <c r="AB18" i="22"/>
  <c r="AB17" i="22"/>
  <c r="AB16" i="22"/>
  <c r="AB15" i="22"/>
  <c r="X15" i="22" a="1"/>
  <c r="X15" i="22" s="1"/>
  <c r="W15" i="22" a="1"/>
  <c r="W15" i="22" s="1"/>
  <c r="V15" i="22" a="1"/>
  <c r="V15" i="22" s="1"/>
  <c r="U15" i="22" a="1"/>
  <c r="U15" i="22" s="1"/>
  <c r="T15" i="22" a="1"/>
  <c r="T15" i="22" s="1"/>
  <c r="S15" i="22" a="1"/>
  <c r="S15" i="22" s="1"/>
  <c r="R15" i="22" a="1"/>
  <c r="R15" i="22" s="1"/>
  <c r="Q15" i="22" a="1"/>
  <c r="Q15" i="22" s="1"/>
  <c r="P15" i="22" a="1"/>
  <c r="P15" i="22" s="1"/>
  <c r="O15" i="22" a="1"/>
  <c r="O15" i="22" s="1"/>
  <c r="N15" i="22" a="1"/>
  <c r="N15" i="22" s="1"/>
  <c r="M15" i="22" a="1"/>
  <c r="M15" i="22" s="1"/>
  <c r="L15" i="22" a="1"/>
  <c r="L15" i="22" s="1"/>
  <c r="K15" i="22" a="1"/>
  <c r="K15" i="22" s="1"/>
  <c r="AB14" i="22"/>
  <c r="AB13" i="22"/>
  <c r="AB12" i="22"/>
  <c r="X12" i="22"/>
  <c r="W12" i="22"/>
  <c r="V12" i="22"/>
  <c r="U12" i="22"/>
  <c r="T12" i="22"/>
  <c r="S12" i="22"/>
  <c r="R12" i="22"/>
  <c r="Q12" i="22"/>
  <c r="P12" i="22"/>
  <c r="O12" i="22"/>
  <c r="N12" i="22"/>
  <c r="M12" i="22"/>
  <c r="L12" i="22"/>
  <c r="K12" i="22"/>
  <c r="AB11" i="22"/>
  <c r="AB10" i="22"/>
  <c r="F10" i="22"/>
  <c r="AB9" i="22"/>
  <c r="AB8" i="22"/>
  <c r="AB7" i="22"/>
  <c r="AB6" i="22"/>
  <c r="F6" i="22"/>
  <c r="B2" i="22"/>
  <c r="B1" i="22"/>
  <c r="X65" i="13"/>
  <c r="W65" i="13"/>
  <c r="V65" i="13"/>
  <c r="U65" i="13"/>
  <c r="T65" i="13"/>
  <c r="S65" i="13"/>
  <c r="R65" i="13"/>
  <c r="Q65" i="13"/>
  <c r="P65" i="13"/>
  <c r="O65" i="13"/>
  <c r="N65" i="13"/>
  <c r="M65" i="13"/>
  <c r="L65" i="13"/>
  <c r="K65" i="13"/>
  <c r="AB62" i="13"/>
  <c r="K62" i="13" a="1"/>
  <c r="K62" i="13" s="1"/>
  <c r="K89" i="37" s="1" a="1"/>
  <c r="K89" i="37" s="1"/>
  <c r="AB61" i="13"/>
  <c r="AB60" i="13"/>
  <c r="AB59" i="13"/>
  <c r="AB58" i="13"/>
  <c r="AB57" i="13"/>
  <c r="AB56" i="13"/>
  <c r="AB55" i="13"/>
  <c r="AB54" i="13"/>
  <c r="AB53" i="13"/>
  <c r="AB52" i="13"/>
  <c r="AB51" i="13"/>
  <c r="AB50" i="13"/>
  <c r="AB49" i="13"/>
  <c r="AB48" i="13"/>
  <c r="AB47" i="13"/>
  <c r="AB46" i="13"/>
  <c r="AB45" i="13"/>
  <c r="AB44" i="13"/>
  <c r="AB43" i="13"/>
  <c r="AB42" i="13"/>
  <c r="AB41" i="13"/>
  <c r="H41" i="13"/>
  <c r="AB40" i="13"/>
  <c r="AB39" i="13"/>
  <c r="AB38" i="13"/>
  <c r="AB37" i="13"/>
  <c r="AB36" i="13"/>
  <c r="AB35" i="13"/>
  <c r="AB34" i="13"/>
  <c r="AB33" i="13"/>
  <c r="AB32" i="13"/>
  <c r="AB31" i="13"/>
  <c r="AB30" i="13"/>
  <c r="AB29" i="13"/>
  <c r="I29" i="13"/>
  <c r="AB28" i="13"/>
  <c r="AB27" i="13"/>
  <c r="AB26" i="13"/>
  <c r="I26" i="13"/>
  <c r="AB25" i="13"/>
  <c r="AB24" i="13"/>
  <c r="AB23" i="13"/>
  <c r="AB22" i="13"/>
  <c r="AB21" i="13"/>
  <c r="I21" i="13"/>
  <c r="AB20" i="13"/>
  <c r="H20" i="13"/>
  <c r="AB19" i="13"/>
  <c r="AB18" i="13"/>
  <c r="AB17" i="13"/>
  <c r="AB16" i="13"/>
  <c r="AB15" i="13"/>
  <c r="AB14" i="13"/>
  <c r="R14" i="13" a="1"/>
  <c r="R14" i="13" s="1"/>
  <c r="Q14" i="13" a="1"/>
  <c r="Q14" i="13" s="1"/>
  <c r="AB13" i="13"/>
  <c r="AB12" i="13"/>
  <c r="AC11" i="13" s="1"/>
  <c r="AB11" i="13"/>
  <c r="AB10" i="13"/>
  <c r="G10" i="13"/>
  <c r="AB9" i="13"/>
  <c r="AB8" i="13"/>
  <c r="AB7" i="13"/>
  <c r="AB6" i="13"/>
  <c r="G6" i="13"/>
  <c r="B2" i="13"/>
  <c r="B1" i="13"/>
  <c r="B14" i="15"/>
  <c r="B2" i="24"/>
  <c r="B2" i="2"/>
  <c r="B15" i="15"/>
  <c r="B3" i="22"/>
  <c r="B15" i="21"/>
  <c r="B3" i="39"/>
  <c r="B3" i="14"/>
  <c r="B3" i="18"/>
  <c r="B3" i="23"/>
  <c r="B3" i="38"/>
  <c r="B15" i="3"/>
  <c r="B3" i="2"/>
  <c r="B15" i="26"/>
  <c r="B3" i="37"/>
  <c r="B3" i="17"/>
  <c r="B3" i="19"/>
  <c r="B3" i="24"/>
  <c r="B3" i="13"/>
  <c r="B3" i="49"/>
  <c r="N38" i="39" l="1" a="1"/>
  <c r="N38" i="39" s="1"/>
  <c r="K29" i="57" s="1" a="1"/>
  <c r="K29" i="57" s="1"/>
  <c r="K22" i="57" s="1" a="1"/>
  <c r="AA163" i="14"/>
  <c r="Z165" i="14"/>
  <c r="Z164" i="14"/>
  <c r="O97" i="23"/>
  <c r="W57" i="39"/>
  <c r="N57" i="39"/>
  <c r="V14" i="13" a="1"/>
  <c r="V14" i="13" s="1"/>
  <c r="P14" i="13" a="1"/>
  <c r="P14" i="13" s="1"/>
  <c r="X14" i="13" a="1"/>
  <c r="X14" i="13" s="1"/>
  <c r="K14" i="13" a="1"/>
  <c r="K14" i="13" s="1"/>
  <c r="S14" i="13" a="1"/>
  <c r="S14" i="13" s="1"/>
  <c r="L14" i="13" a="1"/>
  <c r="L14" i="13" s="1"/>
  <c r="T14" i="13" a="1"/>
  <c r="T14" i="13" s="1"/>
  <c r="M14" i="13" a="1"/>
  <c r="M14" i="13" s="1"/>
  <c r="U14" i="13" a="1"/>
  <c r="U14" i="13" s="1"/>
  <c r="N14" i="13" a="1"/>
  <c r="N14" i="13" s="1"/>
  <c r="O14" i="13" a="1"/>
  <c r="O14" i="13" s="1"/>
  <c r="K15" i="54"/>
  <c r="Y103" i="14"/>
  <c r="N103" i="14"/>
  <c r="AA105" i="14"/>
  <c r="N105" i="14"/>
  <c r="O221" i="14"/>
  <c r="P221" i="14" s="1"/>
  <c r="Q221" i="14" s="1"/>
  <c r="R221" i="14" s="1"/>
  <c r="S221" i="14" s="1"/>
  <c r="T221" i="14" s="1"/>
  <c r="U221" i="14" s="1"/>
  <c r="V221" i="14" s="1"/>
  <c r="W221" i="14" s="1"/>
  <c r="X221" i="14" s="1"/>
  <c r="Y221" i="14" s="1"/>
  <c r="Z221" i="14" s="1"/>
  <c r="M266" i="23"/>
  <c r="O71" i="18"/>
  <c r="W103" i="14"/>
  <c r="T48" i="23"/>
  <c r="AA103" i="14"/>
  <c r="R71" i="18"/>
  <c r="X57" i="39"/>
  <c r="S71" i="18"/>
  <c r="U71" i="18"/>
  <c r="AB48" i="23"/>
  <c r="R48" i="23"/>
  <c r="W170" i="18"/>
  <c r="W175" i="18" s="1"/>
  <c r="W195" i="18" s="1"/>
  <c r="O141" i="23"/>
  <c r="Q73" i="23" s="1"/>
  <c r="O103" i="14"/>
  <c r="AE48" i="23"/>
  <c r="U48" i="23"/>
  <c r="W22" i="49"/>
  <c r="W142" i="49" s="1"/>
  <c r="W71" i="18"/>
  <c r="O212" i="14"/>
  <c r="K109" i="49" a="1"/>
  <c r="K109" i="49" s="1"/>
  <c r="Y48" i="23"/>
  <c r="V214" i="14"/>
  <c r="P57" i="39"/>
  <c r="L19" i="23"/>
  <c r="L22" i="23" s="1"/>
  <c r="T27" i="23" s="1"/>
  <c r="AC22" i="13"/>
  <c r="AA48" i="23"/>
  <c r="Y57" i="39"/>
  <c r="K50" i="22" a="1"/>
  <c r="K50" i="22" s="1"/>
  <c r="O22" i="49"/>
  <c r="O142" i="49" s="1"/>
  <c r="U160" i="14"/>
  <c r="R22" i="49"/>
  <c r="R142" i="49" s="1"/>
  <c r="L22" i="49"/>
  <c r="L142" i="49" s="1"/>
  <c r="O46" i="23"/>
  <c r="N58" i="23" a="1"/>
  <c r="N58" i="23" s="1"/>
  <c r="V48" i="23"/>
  <c r="V160" i="14"/>
  <c r="T212" i="14"/>
  <c r="W214" i="14"/>
  <c r="X170" i="18"/>
  <c r="X175" i="18" s="1"/>
  <c r="X195" i="18" s="1"/>
  <c r="P46" i="23"/>
  <c r="P47" i="23" s="1"/>
  <c r="W48" i="23"/>
  <c r="L266" i="23"/>
  <c r="AA160" i="14"/>
  <c r="W212" i="14"/>
  <c r="Y170" i="18"/>
  <c r="Y175" i="18" s="1"/>
  <c r="Y195" i="18" s="1"/>
  <c r="Q46" i="23"/>
  <c r="X48" i="23"/>
  <c r="AA212" i="14"/>
  <c r="AA170" i="18"/>
  <c r="AA175" i="18" s="1"/>
  <c r="AA195" i="18" s="1"/>
  <c r="Z48" i="23"/>
  <c r="S103" i="14"/>
  <c r="X213" i="14"/>
  <c r="Q57" i="39"/>
  <c r="N59" i="23" a="1"/>
  <c r="N59" i="23" s="1"/>
  <c r="O201" i="18"/>
  <c r="R57" i="39"/>
  <c r="AD48" i="23"/>
  <c r="K65" i="22" a="1"/>
  <c r="K65" i="22" s="1"/>
  <c r="T286" i="23"/>
  <c r="T287" i="23" s="1"/>
  <c r="Z103" i="14"/>
  <c r="S214" i="14"/>
  <c r="P201" i="18"/>
  <c r="V57" i="39"/>
  <c r="Q144" i="18"/>
  <c r="R144" i="18" s="1"/>
  <c r="P145" i="18"/>
  <c r="P146" i="18" s="1"/>
  <c r="L44" i="39"/>
  <c r="S48" i="39" s="1"/>
  <c r="N138" i="14"/>
  <c r="O159" i="14" s="1"/>
  <c r="P74" i="23"/>
  <c r="P36" i="23"/>
  <c r="N57" i="23"/>
  <c r="P73" i="23"/>
  <c r="O36" i="23"/>
  <c r="L20" i="23"/>
  <c r="L23" i="23" s="1"/>
  <c r="AD28" i="23" s="1"/>
  <c r="N185" i="14"/>
  <c r="O208" i="14" s="1"/>
  <c r="O33" i="23"/>
  <c r="N36" i="23"/>
  <c r="P72" i="23"/>
  <c r="V72" i="23" s="1"/>
  <c r="P156" i="23" s="1"/>
  <c r="N33" i="23"/>
  <c r="P71" i="23"/>
  <c r="P35" i="23"/>
  <c r="N84" i="14"/>
  <c r="N90" i="14" s="1"/>
  <c r="R209" i="23"/>
  <c r="R213" i="23" s="1"/>
  <c r="O35" i="23"/>
  <c r="R208" i="23"/>
  <c r="R212" i="23" s="1"/>
  <c r="P70" i="23"/>
  <c r="N35" i="23"/>
  <c r="R207" i="23"/>
  <c r="R211" i="23" s="1"/>
  <c r="P33" i="23"/>
  <c r="P69" i="23"/>
  <c r="P34" i="23"/>
  <c r="Q16" i="14"/>
  <c r="Q24" i="14" s="1"/>
  <c r="Q35" i="14" s="1"/>
  <c r="O34" i="23"/>
  <c r="N34" i="23"/>
  <c r="P57" i="23"/>
  <c r="O57" i="23"/>
  <c r="M40" i="18"/>
  <c r="X41" i="18" s="1"/>
  <c r="X51" i="18" s="1"/>
  <c r="L15" i="18"/>
  <c r="V16" i="18" s="1"/>
  <c r="V38" i="18" s="1"/>
  <c r="L123" i="14"/>
  <c r="R130" i="14" s="1"/>
  <c r="N10" i="14"/>
  <c r="N99" i="18"/>
  <c r="N100" i="18"/>
  <c r="N105" i="18"/>
  <c r="N85" i="14"/>
  <c r="P91" i="14" s="1"/>
  <c r="N81" i="14"/>
  <c r="X88" i="14" s="1"/>
  <c r="AC21" i="13"/>
  <c r="N37" i="23" a="1"/>
  <c r="N37" i="23" s="1"/>
  <c r="N44" i="14"/>
  <c r="U47" i="14" s="1"/>
  <c r="U54" i="14" s="1"/>
  <c r="U65" i="14" s="1"/>
  <c r="N46" i="23"/>
  <c r="AC48" i="23"/>
  <c r="N176" i="14"/>
  <c r="W204" i="14" s="1"/>
  <c r="R46" i="23"/>
  <c r="W201" i="18"/>
  <c r="Y71" i="18"/>
  <c r="X201" i="18"/>
  <c r="O145" i="23"/>
  <c r="Q71" i="23" s="1"/>
  <c r="Z71" i="18"/>
  <c r="R103" i="14"/>
  <c r="N160" i="14"/>
  <c r="R202" i="18"/>
  <c r="P48" i="23"/>
  <c r="AA71" i="18"/>
  <c r="O160" i="14"/>
  <c r="N89" i="18" a="1"/>
  <c r="N89" i="18" s="1"/>
  <c r="O145" i="18"/>
  <c r="O146" i="18" s="1"/>
  <c r="Z202" i="18"/>
  <c r="N67" i="14" a="1"/>
  <c r="N67" i="14" s="1"/>
  <c r="Q48" i="23"/>
  <c r="N106" i="18"/>
  <c r="N197" i="18" a="1"/>
  <c r="N197" i="18" s="1"/>
  <c r="S48" i="23"/>
  <c r="S201" i="23"/>
  <c r="T201" i="23" s="1"/>
  <c r="N88" i="18" a="1"/>
  <c r="N88" i="18" s="1"/>
  <c r="N198" i="18" a="1"/>
  <c r="N198" i="18" s="1"/>
  <c r="P227" i="14"/>
  <c r="P228" i="14" s="1"/>
  <c r="N170" i="18"/>
  <c r="N175" i="18" s="1"/>
  <c r="S104" i="14"/>
  <c r="W161" i="14"/>
  <c r="N53" i="18" a="1"/>
  <c r="N53" i="18" s="1"/>
  <c r="O170" i="18"/>
  <c r="O175" i="18" s="1"/>
  <c r="O195" i="18" s="1"/>
  <c r="T104" i="14"/>
  <c r="X161" i="14"/>
  <c r="P170" i="18"/>
  <c r="P175" i="18" s="1"/>
  <c r="P195" i="18" s="1"/>
  <c r="K13" i="22" a="1"/>
  <c r="K13" i="22" s="1"/>
  <c r="Q69" i="23"/>
  <c r="AA104" i="14"/>
  <c r="N54" i="18" a="1"/>
  <c r="N54" i="18" s="1"/>
  <c r="Q170" i="18"/>
  <c r="Q175" i="18" s="1"/>
  <c r="Q195" i="18" s="1"/>
  <c r="Z213" i="14"/>
  <c r="S170" i="18"/>
  <c r="S175" i="18" s="1"/>
  <c r="S195" i="18" s="1"/>
  <c r="Z57" i="39"/>
  <c r="T105" i="14"/>
  <c r="U170" i="18"/>
  <c r="U175" i="18" s="1"/>
  <c r="U195" i="18" s="1"/>
  <c r="T22" i="49"/>
  <c r="T142" i="49" s="1"/>
  <c r="R26" i="23"/>
  <c r="O126" i="23"/>
  <c r="Q70" i="23" s="1"/>
  <c r="N37" i="14" a="1"/>
  <c r="N37" i="14" s="1"/>
  <c r="U105" i="14"/>
  <c r="O214" i="14"/>
  <c r="V170" i="18"/>
  <c r="V175" i="18" s="1"/>
  <c r="V195" i="18" s="1"/>
  <c r="P22" i="49"/>
  <c r="P26" i="49" s="1"/>
  <c r="X22" i="49"/>
  <c r="X26" i="49" s="1"/>
  <c r="Q22" i="49"/>
  <c r="Q142" i="49" s="1"/>
  <c r="K22" i="49"/>
  <c r="S22" i="49"/>
  <c r="S26" i="49" s="1"/>
  <c r="N22" i="49"/>
  <c r="N26" i="49" s="1"/>
  <c r="V22" i="49"/>
  <c r="V142" i="49" s="1"/>
  <c r="K104" i="37" a="1"/>
  <c r="K104" i="37" s="1"/>
  <c r="K45" i="17" a="1"/>
  <c r="K45" i="17" s="1"/>
  <c r="K147" i="49" a="1"/>
  <c r="K147" i="49" s="1"/>
  <c r="K14" i="49" a="1"/>
  <c r="K14" i="49" s="1"/>
  <c r="M22" i="49"/>
  <c r="U22" i="49"/>
  <c r="K97" i="37" a="1"/>
  <c r="K97" i="37" s="1"/>
  <c r="N38" i="14" a="1"/>
  <c r="N38" i="14" s="1"/>
  <c r="R71" i="23"/>
  <c r="N131" i="18" a="1"/>
  <c r="N131" i="18" s="1"/>
  <c r="N134" i="18" a="1"/>
  <c r="N134" i="18" s="1"/>
  <c r="R69" i="23"/>
  <c r="M36" i="18"/>
  <c r="Q71" i="18"/>
  <c r="R73" i="23"/>
  <c r="R74" i="23"/>
  <c r="N68" i="14" a="1"/>
  <c r="N68" i="14" s="1"/>
  <c r="N133" i="18" a="1"/>
  <c r="N133" i="18" s="1"/>
  <c r="T71" i="18"/>
  <c r="T103" i="14"/>
  <c r="U104" i="14"/>
  <c r="V105" i="14"/>
  <c r="Q160" i="14"/>
  <c r="N161" i="14"/>
  <c r="Z161" i="14"/>
  <c r="Q212" i="14"/>
  <c r="N213" i="14"/>
  <c r="U103" i="14"/>
  <c r="N104" i="14"/>
  <c r="V104" i="14"/>
  <c r="O105" i="14"/>
  <c r="W105" i="14"/>
  <c r="O161" i="14"/>
  <c r="T214" i="14"/>
  <c r="Z214" i="14"/>
  <c r="R214" i="14"/>
  <c r="X214" i="14"/>
  <c r="P214" i="14"/>
  <c r="N214" i="14"/>
  <c r="AA214" i="14"/>
  <c r="N71" i="18"/>
  <c r="V71" i="18"/>
  <c r="V103" i="14"/>
  <c r="O104" i="14"/>
  <c r="W104" i="14"/>
  <c r="P105" i="14"/>
  <c r="X105" i="14"/>
  <c r="AA213" i="14"/>
  <c r="S213" i="14"/>
  <c r="Y213" i="14"/>
  <c r="Q213" i="14"/>
  <c r="W213" i="14"/>
  <c r="O213" i="14"/>
  <c r="R213" i="14"/>
  <c r="P104" i="14"/>
  <c r="X104" i="14"/>
  <c r="Q105" i="14"/>
  <c r="Y105" i="14"/>
  <c r="U161" i="14"/>
  <c r="AA161" i="14"/>
  <c r="S161" i="14"/>
  <c r="Y161" i="14"/>
  <c r="Q161" i="14"/>
  <c r="R161" i="14"/>
  <c r="Z212" i="14"/>
  <c r="R212" i="14"/>
  <c r="X212" i="14"/>
  <c r="P212" i="14"/>
  <c r="V212" i="14"/>
  <c r="U212" i="14"/>
  <c r="T213" i="14"/>
  <c r="Q214" i="14"/>
  <c r="P71" i="18"/>
  <c r="X71" i="18"/>
  <c r="P103" i="14"/>
  <c r="X103" i="14"/>
  <c r="Q104" i="14"/>
  <c r="Y104" i="14"/>
  <c r="R105" i="14"/>
  <c r="Z105" i="14"/>
  <c r="T160" i="14"/>
  <c r="Z160" i="14"/>
  <c r="R160" i="14"/>
  <c r="X160" i="14"/>
  <c r="P160" i="14"/>
  <c r="W160" i="14"/>
  <c r="T161" i="14"/>
  <c r="U213" i="14"/>
  <c r="N130" i="18" a="1"/>
  <c r="N130" i="18" s="1"/>
  <c r="Q103" i="14"/>
  <c r="R104" i="14"/>
  <c r="Z104" i="14"/>
  <c r="S105" i="14"/>
  <c r="Y160" i="14"/>
  <c r="V161" i="14"/>
  <c r="Y212" i="14"/>
  <c r="V213" i="14"/>
  <c r="U214" i="14"/>
  <c r="M74" i="18"/>
  <c r="P76" i="18" s="1"/>
  <c r="P209" i="18"/>
  <c r="Q202" i="18"/>
  <c r="Y202" i="18"/>
  <c r="N154" i="18"/>
  <c r="N174" i="18" s="1"/>
  <c r="R170" i="18"/>
  <c r="R175" i="18" s="1"/>
  <c r="R195" i="18" s="1"/>
  <c r="Z170" i="18"/>
  <c r="Z175" i="18" s="1"/>
  <c r="Z195" i="18" s="1"/>
  <c r="Q201" i="18"/>
  <c r="Y201" i="18"/>
  <c r="S202" i="18"/>
  <c r="AA202" i="18"/>
  <c r="S57" i="39"/>
  <c r="AA57" i="39"/>
  <c r="AA145" i="18"/>
  <c r="AA146" i="18" s="1"/>
  <c r="N155" i="18"/>
  <c r="R201" i="18"/>
  <c r="Z201" i="18"/>
  <c r="T202" i="18"/>
  <c r="T57" i="39"/>
  <c r="L61" i="39"/>
  <c r="L62" i="39" s="1"/>
  <c r="N146" i="18"/>
  <c r="S201" i="18"/>
  <c r="AA201" i="18"/>
  <c r="U202" i="18"/>
  <c r="U57" i="39"/>
  <c r="T201" i="18"/>
  <c r="N202" i="18"/>
  <c r="V202" i="18"/>
  <c r="M140" i="18"/>
  <c r="U201" i="18"/>
  <c r="O202" i="18"/>
  <c r="W202" i="18"/>
  <c r="O57" i="39"/>
  <c r="N201" i="18"/>
  <c r="P202" i="18"/>
  <c r="Q17" i="57" l="1"/>
  <c r="K22" i="57"/>
  <c r="K17" i="57" s="1"/>
  <c r="P17" i="57"/>
  <c r="S17" i="57"/>
  <c r="R17" i="57"/>
  <c r="X17" i="57"/>
  <c r="U17" i="57"/>
  <c r="M17" i="57"/>
  <c r="T17" i="57"/>
  <c r="L17" i="57"/>
  <c r="O17" i="57"/>
  <c r="N17" i="57"/>
  <c r="V17" i="57"/>
  <c r="W17" i="57"/>
  <c r="V69" i="23"/>
  <c r="P153" i="23" s="1"/>
  <c r="AA164" i="14"/>
  <c r="AA165" i="14"/>
  <c r="W69" i="23"/>
  <c r="P161" i="23" s="1"/>
  <c r="K17" i="37" a="1"/>
  <c r="K17" i="37" s="1"/>
  <c r="V48" i="39"/>
  <c r="L25" i="55"/>
  <c r="Z34" i="23" a="1"/>
  <c r="Z34" i="23" s="1"/>
  <c r="P13" i="14"/>
  <c r="P23" i="14" s="1"/>
  <c r="P35" i="14" s="1"/>
  <c r="R13" i="14"/>
  <c r="R23" i="14" s="1"/>
  <c r="R35" i="14" s="1"/>
  <c r="K26" i="49"/>
  <c r="K142" i="49"/>
  <c r="L269" i="23"/>
  <c r="R277" i="23" s="1"/>
  <c r="R280" i="23" s="1"/>
  <c r="T208" i="14"/>
  <c r="V208" i="14"/>
  <c r="N208" i="14"/>
  <c r="O60" i="23"/>
  <c r="O63" i="23" s="1"/>
  <c r="P60" i="23"/>
  <c r="P63" i="23" s="1"/>
  <c r="S208" i="14"/>
  <c r="U88" i="14"/>
  <c r="N39" i="23"/>
  <c r="N60" i="23"/>
  <c r="AA35" i="23" a="1"/>
  <c r="AA35" i="23" s="1"/>
  <c r="AA41" i="23" s="1"/>
  <c r="N107" i="14" a="1"/>
  <c r="N107" i="14" s="1"/>
  <c r="K16" i="54"/>
  <c r="AA48" i="39"/>
  <c r="U48" i="39"/>
  <c r="S16" i="18"/>
  <c r="S38" i="18" s="1"/>
  <c r="U234" i="23" a="1"/>
  <c r="U234" i="23" s="1"/>
  <c r="S28" i="23"/>
  <c r="AB28" i="23"/>
  <c r="U28" i="23"/>
  <c r="T28" i="23"/>
  <c r="X13" i="14"/>
  <c r="X23" i="14" s="1"/>
  <c r="X35" i="14" s="1"/>
  <c r="N109" i="14" a="1"/>
  <c r="N109" i="14" s="1"/>
  <c r="W208" i="14"/>
  <c r="X208" i="14"/>
  <c r="AA208" i="14"/>
  <c r="Q208" i="14"/>
  <c r="U208" i="14"/>
  <c r="P208" i="14"/>
  <c r="R88" i="14"/>
  <c r="N13" i="14"/>
  <c r="N23" i="14" s="1"/>
  <c r="N22" i="14"/>
  <c r="R47" i="23"/>
  <c r="R49" i="23" s="1"/>
  <c r="K11" i="13" a="1"/>
  <c r="K11" i="13" s="1"/>
  <c r="T48" i="39"/>
  <c r="N48" i="39"/>
  <c r="O48" i="39"/>
  <c r="P49" i="23"/>
  <c r="P48" i="39"/>
  <c r="X48" i="39"/>
  <c r="W48" i="39"/>
  <c r="Q48" i="39"/>
  <c r="Y48" i="39"/>
  <c r="R48" i="39"/>
  <c r="Z48" i="39"/>
  <c r="Y234" i="23" a="1"/>
  <c r="Y234" i="23" s="1"/>
  <c r="N107" i="18"/>
  <c r="V111" i="18" s="1"/>
  <c r="K49" i="17" a="1"/>
  <c r="T28" i="17" s="1"/>
  <c r="U286" i="23"/>
  <c r="U287" i="23" s="1"/>
  <c r="X73" i="23"/>
  <c r="P173" i="23" s="1"/>
  <c r="K58" i="17" a="1"/>
  <c r="K58" i="17" s="1"/>
  <c r="Y33" i="23" a="1"/>
  <c r="Y33" i="23" s="1"/>
  <c r="K49" i="13" a="1"/>
  <c r="K49" i="13" s="1"/>
  <c r="K76" i="37" s="1" a="1"/>
  <c r="K76" i="37" s="1"/>
  <c r="Q145" i="18"/>
  <c r="Q146" i="18" s="1"/>
  <c r="O204" i="14"/>
  <c r="V70" i="23"/>
  <c r="P154" i="23" s="1"/>
  <c r="Y159" i="14"/>
  <c r="AC33" i="23" a="1"/>
  <c r="AC33" i="23" s="1"/>
  <c r="W35" i="23" a="1"/>
  <c r="W35" i="23" s="1"/>
  <c r="W41" i="23" s="1"/>
  <c r="Q47" i="23"/>
  <c r="Q49" i="23" s="1"/>
  <c r="Q159" i="14"/>
  <c r="K48" i="13" a="1"/>
  <c r="K48" i="13" s="1"/>
  <c r="Z159" i="14"/>
  <c r="W72" i="23"/>
  <c r="P164" i="23" s="1"/>
  <c r="K50" i="17" a="1"/>
  <c r="O29" i="17" s="1"/>
  <c r="AD34" i="23" a="1"/>
  <c r="AD34" i="23" s="1"/>
  <c r="U33" i="23" a="1"/>
  <c r="U33" i="23" s="1"/>
  <c r="W26" i="49"/>
  <c r="P75" i="23"/>
  <c r="P76" i="23" s="1"/>
  <c r="S36" i="23" a="1"/>
  <c r="S36" i="23" s="1"/>
  <c r="AA33" i="23" a="1"/>
  <c r="AA33" i="23" s="1"/>
  <c r="Q227" i="14"/>
  <c r="Q228" i="14" s="1"/>
  <c r="V34" i="23" a="1"/>
  <c r="V34" i="23" s="1"/>
  <c r="R234" i="23" a="1"/>
  <c r="R234" i="23" s="1"/>
  <c r="O42" i="23"/>
  <c r="S27" i="23"/>
  <c r="AD27" i="23"/>
  <c r="Z27" i="23"/>
  <c r="V27" i="23"/>
  <c r="W27" i="23"/>
  <c r="AB27" i="23"/>
  <c r="AE27" i="23"/>
  <c r="Y27" i="23"/>
  <c r="X27" i="23"/>
  <c r="R27" i="23"/>
  <c r="R204" i="14"/>
  <c r="X33" i="23" a="1"/>
  <c r="X33" i="23" s="1"/>
  <c r="N159" i="14"/>
  <c r="W159" i="14"/>
  <c r="X204" i="14"/>
  <c r="AD36" i="23" a="1"/>
  <c r="AD36" i="23" s="1"/>
  <c r="W36" i="23" a="1"/>
  <c r="W36" i="23" s="1"/>
  <c r="S159" i="14"/>
  <c r="U90" i="14"/>
  <c r="Z204" i="14"/>
  <c r="AB36" i="23" a="1"/>
  <c r="AB36" i="23" s="1"/>
  <c r="AA159" i="14"/>
  <c r="P90" i="14"/>
  <c r="T204" i="14"/>
  <c r="S33" i="23" a="1"/>
  <c r="S33" i="23" s="1"/>
  <c r="N204" i="14"/>
  <c r="W33" i="23" a="1"/>
  <c r="W33" i="23" s="1"/>
  <c r="T159" i="14"/>
  <c r="X74" i="23"/>
  <c r="P174" i="23" s="1"/>
  <c r="V204" i="14"/>
  <c r="X69" i="23"/>
  <c r="P169" i="23" s="1"/>
  <c r="V234" i="23" a="1"/>
  <c r="V234" i="23" s="1"/>
  <c r="R26" i="49"/>
  <c r="T26" i="49"/>
  <c r="L26" i="49"/>
  <c r="O26" i="49"/>
  <c r="N40" i="23"/>
  <c r="N41" i="23"/>
  <c r="P41" i="23"/>
  <c r="AC234" i="23" a="1"/>
  <c r="AC234" i="23" s="1"/>
  <c r="O44" i="23"/>
  <c r="N44" i="23"/>
  <c r="T234" i="23" a="1"/>
  <c r="T234" i="23" s="1"/>
  <c r="Q26" i="49"/>
  <c r="P40" i="23"/>
  <c r="P42" i="23"/>
  <c r="V71" i="23"/>
  <c r="P155" i="23" s="1"/>
  <c r="W74" i="23"/>
  <c r="P166" i="23" s="1"/>
  <c r="X142" i="49"/>
  <c r="N108" i="18"/>
  <c r="N113" i="18" s="1"/>
  <c r="P39" i="23"/>
  <c r="V73" i="23"/>
  <c r="P157" i="23" s="1"/>
  <c r="N41" i="18"/>
  <c r="N51" i="18" s="1"/>
  <c r="AE33" i="23" a="1"/>
  <c r="AE33" i="23" s="1"/>
  <c r="T41" i="18"/>
  <c r="T51" i="18" s="1"/>
  <c r="N91" i="14"/>
  <c r="Y130" i="14"/>
  <c r="N76" i="18"/>
  <c r="X71" i="23"/>
  <c r="P171" i="23" s="1"/>
  <c r="U36" i="23" a="1"/>
  <c r="U36" i="23" s="1"/>
  <c r="V35" i="23" a="1"/>
  <c r="V35" i="23" s="1"/>
  <c r="V41" i="23" s="1"/>
  <c r="X72" i="23"/>
  <c r="P172" i="23" s="1"/>
  <c r="S35" i="23" a="1"/>
  <c r="S35" i="23" s="1"/>
  <c r="S41" i="23" s="1"/>
  <c r="X34" i="23" a="1"/>
  <c r="X34" i="23" s="1"/>
  <c r="T34" i="23" a="1"/>
  <c r="T34" i="23" s="1"/>
  <c r="AD33" i="23" a="1"/>
  <c r="AD33" i="23" s="1"/>
  <c r="Z33" i="23" a="1"/>
  <c r="Z33" i="23" s="1"/>
  <c r="W71" i="23"/>
  <c r="P163" i="23" s="1"/>
  <c r="AB34" i="23" a="1"/>
  <c r="AB34" i="23" s="1"/>
  <c r="AA27" i="23"/>
  <c r="X35" i="23" a="1"/>
  <c r="X35" i="23" s="1"/>
  <c r="X41" i="23" s="1"/>
  <c r="Z35" i="23" a="1"/>
  <c r="Z35" i="23" s="1"/>
  <c r="Z41" i="23" s="1"/>
  <c r="O40" i="23"/>
  <c r="N42" i="23"/>
  <c r="R47" i="14"/>
  <c r="R54" i="14" s="1"/>
  <c r="R65" i="14" s="1"/>
  <c r="V74" i="23"/>
  <c r="P158" i="23" s="1"/>
  <c r="N130" i="14"/>
  <c r="U27" i="23"/>
  <c r="AB35" i="23" a="1"/>
  <c r="AB35" i="23" s="1"/>
  <c r="AB41" i="23" s="1"/>
  <c r="AD35" i="23" a="1"/>
  <c r="AD35" i="23" s="1"/>
  <c r="AD41" i="23" s="1"/>
  <c r="O39" i="23"/>
  <c r="K51" i="17" a="1"/>
  <c r="K51" i="17" s="1"/>
  <c r="R35" i="23" a="1"/>
  <c r="R35" i="23" s="1"/>
  <c r="R41" i="23" s="1"/>
  <c r="T35" i="23" a="1"/>
  <c r="T35" i="23" s="1"/>
  <c r="T41" i="23" s="1"/>
  <c r="M141" i="18"/>
  <c r="M142" i="18" s="1"/>
  <c r="M143" i="18" s="1"/>
  <c r="P75" i="18"/>
  <c r="P86" i="18" s="1"/>
  <c r="Q130" i="14"/>
  <c r="R33" i="23" a="1"/>
  <c r="R33" i="23" s="1"/>
  <c r="AC27" i="23"/>
  <c r="T33" i="23" a="1"/>
  <c r="T33" i="23" s="1"/>
  <c r="R34" i="23" a="1"/>
  <c r="R34" i="23" s="1"/>
  <c r="R208" i="14"/>
  <c r="Z208" i="14"/>
  <c r="Y208" i="14"/>
  <c r="O41" i="18"/>
  <c r="O51" i="18" s="1"/>
  <c r="Q41" i="18"/>
  <c r="Q51" i="18" s="1"/>
  <c r="AA41" i="18"/>
  <c r="AA51" i="18" s="1"/>
  <c r="S41" i="18"/>
  <c r="Z41" i="18"/>
  <c r="Z51" i="18" s="1"/>
  <c r="P41" i="18"/>
  <c r="P51" i="18" s="1"/>
  <c r="W73" i="23"/>
  <c r="P165" i="23" s="1"/>
  <c r="Y41" i="18"/>
  <c r="Y51" i="18" s="1"/>
  <c r="Z130" i="14"/>
  <c r="P130" i="14"/>
  <c r="Y35" i="23" a="1"/>
  <c r="Y35" i="23" s="1"/>
  <c r="Y41" i="23" s="1"/>
  <c r="W41" i="18"/>
  <c r="W51" i="18" s="1"/>
  <c r="AB234" i="23" a="1"/>
  <c r="AB234" i="23" s="1"/>
  <c r="X234" i="23" a="1"/>
  <c r="X234" i="23" s="1"/>
  <c r="V130" i="14"/>
  <c r="K52" i="17" a="1"/>
  <c r="K52" i="17" s="1"/>
  <c r="K96" i="37" s="1" a="1"/>
  <c r="P47" i="14"/>
  <c r="P54" i="14" s="1"/>
  <c r="P65" i="14" s="1"/>
  <c r="N47" i="14"/>
  <c r="K59" i="17" a="1"/>
  <c r="K59" i="17" s="1"/>
  <c r="K44" i="17" s="1" a="1"/>
  <c r="AA28" i="23"/>
  <c r="AC28" i="23"/>
  <c r="AC35" i="23" a="1"/>
  <c r="AC35" i="23" s="1"/>
  <c r="AC41" i="23" s="1"/>
  <c r="M41" i="18"/>
  <c r="M51" i="18" s="1"/>
  <c r="AA204" i="14"/>
  <c r="R91" i="14"/>
  <c r="P204" i="14"/>
  <c r="AE28" i="23"/>
  <c r="Y34" i="23" a="1"/>
  <c r="Y34" i="23" s="1"/>
  <c r="AE36" i="23" a="1"/>
  <c r="AE36" i="23" s="1"/>
  <c r="V41" i="18"/>
  <c r="V51" i="18" s="1"/>
  <c r="V159" i="14"/>
  <c r="R159" i="14"/>
  <c r="X159" i="14"/>
  <c r="P159" i="14"/>
  <c r="L16" i="18"/>
  <c r="U91" i="14"/>
  <c r="Q204" i="14"/>
  <c r="S234" i="23" a="1"/>
  <c r="S234" i="23" s="1"/>
  <c r="O130" i="14"/>
  <c r="V33" i="23" a="1"/>
  <c r="V33" i="23" s="1"/>
  <c r="X28" i="23"/>
  <c r="AA34" i="23" a="1"/>
  <c r="AA34" i="23" s="1"/>
  <c r="AC34" i="23" a="1"/>
  <c r="AC34" i="23" s="1"/>
  <c r="S272" i="23"/>
  <c r="S46" i="23"/>
  <c r="S47" i="23" s="1"/>
  <c r="S49" i="23" s="1"/>
  <c r="S26" i="23"/>
  <c r="AA130" i="14"/>
  <c r="P44" i="23"/>
  <c r="AB33" i="23" a="1"/>
  <c r="AB33" i="23" s="1"/>
  <c r="U130" i="14"/>
  <c r="Z234" i="23" a="1"/>
  <c r="Z234" i="23" s="1"/>
  <c r="Y36" i="23" a="1"/>
  <c r="Y36" i="23" s="1"/>
  <c r="W28" i="23"/>
  <c r="U34" i="23" a="1"/>
  <c r="U34" i="23" s="1"/>
  <c r="AA36" i="23" a="1"/>
  <c r="AA36" i="23" s="1"/>
  <c r="AD234" i="23" a="1"/>
  <c r="AD234" i="23" s="1"/>
  <c r="W34" i="23" a="1"/>
  <c r="W34" i="23" s="1"/>
  <c r="X91" i="14"/>
  <c r="S204" i="14"/>
  <c r="W130" i="14"/>
  <c r="Y28" i="23"/>
  <c r="R36" i="23" a="1"/>
  <c r="R36" i="23" s="1"/>
  <c r="O41" i="23"/>
  <c r="N88" i="14"/>
  <c r="U204" i="14"/>
  <c r="AA234" i="23" a="1"/>
  <c r="AA234" i="23" s="1"/>
  <c r="W70" i="23"/>
  <c r="P162" i="23" s="1"/>
  <c r="N111" i="18"/>
  <c r="R28" i="23"/>
  <c r="T36" i="23" a="1"/>
  <c r="T36" i="23" s="1"/>
  <c r="V36" i="23" a="1"/>
  <c r="V36" i="23" s="1"/>
  <c r="R41" i="18"/>
  <c r="R51" i="18" s="1"/>
  <c r="X47" i="14"/>
  <c r="X54" i="14" s="1"/>
  <c r="X65" i="14" s="1"/>
  <c r="T130" i="14"/>
  <c r="U35" i="23" a="1"/>
  <c r="U35" i="23" s="1"/>
  <c r="U41" i="23" s="1"/>
  <c r="AE35" i="23" a="1"/>
  <c r="AE35" i="23" s="1"/>
  <c r="AE41" i="23" s="1"/>
  <c r="N195" i="18"/>
  <c r="Y204" i="14"/>
  <c r="X130" i="14"/>
  <c r="S130" i="14"/>
  <c r="S34" i="23" a="1"/>
  <c r="S34" i="23" s="1"/>
  <c r="W234" i="23" a="1"/>
  <c r="W234" i="23" s="1"/>
  <c r="V28" i="23"/>
  <c r="AE34" i="23" a="1"/>
  <c r="AE34" i="23" s="1"/>
  <c r="Z76" i="18"/>
  <c r="U159" i="14"/>
  <c r="P88" i="14"/>
  <c r="AE234" i="23" a="1"/>
  <c r="AE234" i="23" s="1"/>
  <c r="X70" i="23"/>
  <c r="P170" i="23" s="1"/>
  <c r="Z28" i="23"/>
  <c r="X36" i="23" a="1"/>
  <c r="X36" i="23" s="1"/>
  <c r="Z36" i="23" a="1"/>
  <c r="Z36" i="23" s="1"/>
  <c r="AC36" i="23" a="1"/>
  <c r="AC36" i="23" s="1"/>
  <c r="N142" i="49"/>
  <c r="U13" i="14"/>
  <c r="U23" i="14" s="1"/>
  <c r="U35" i="14" s="1"/>
  <c r="X90" i="14"/>
  <c r="R90" i="14"/>
  <c r="U41" i="18"/>
  <c r="U51" i="18" s="1"/>
  <c r="S142" i="49"/>
  <c r="P142" i="49"/>
  <c r="V26" i="49"/>
  <c r="Q209" i="18"/>
  <c r="X75" i="18"/>
  <c r="K61" i="13" a="1"/>
  <c r="K61" i="13" s="1"/>
  <c r="N113" i="14" a="1"/>
  <c r="N113" i="14" s="1"/>
  <c r="N75" i="18"/>
  <c r="K131" i="49" a="1"/>
  <c r="K131" i="49" s="1"/>
  <c r="K48" i="22" a="1"/>
  <c r="K48" i="22" s="1"/>
  <c r="K47" i="22" s="1" a="1"/>
  <c r="K47" i="22" s="1"/>
  <c r="K33" i="38" a="1"/>
  <c r="X76" i="18"/>
  <c r="AA112" i="18"/>
  <c r="AA124" i="18" s="1"/>
  <c r="Z75" i="18"/>
  <c r="S144" i="18"/>
  <c r="R145" i="18"/>
  <c r="R146" i="18" s="1"/>
  <c r="AA76" i="18"/>
  <c r="Y75" i="18"/>
  <c r="Y76" i="18"/>
  <c r="W75" i="18"/>
  <c r="W76" i="18"/>
  <c r="U75" i="18"/>
  <c r="U76" i="18"/>
  <c r="S75" i="18"/>
  <c r="S76" i="18"/>
  <c r="Q75" i="18"/>
  <c r="Q76" i="18"/>
  <c r="O75" i="18"/>
  <c r="O76" i="18"/>
  <c r="AA75" i="18"/>
  <c r="M75" i="18"/>
  <c r="M86" i="18" s="1"/>
  <c r="R76" i="18"/>
  <c r="T112" i="18"/>
  <c r="T124" i="18" s="1"/>
  <c r="S112" i="18"/>
  <c r="S124" i="18" s="1"/>
  <c r="T76" i="18"/>
  <c r="R75" i="18"/>
  <c r="V76" i="18"/>
  <c r="Z112" i="18"/>
  <c r="Z124" i="18" s="1"/>
  <c r="N112" i="14" a="1"/>
  <c r="N112" i="14" s="1"/>
  <c r="U142" i="49"/>
  <c r="U26" i="49"/>
  <c r="U47" i="39"/>
  <c r="T47" i="39"/>
  <c r="AA47" i="39"/>
  <c r="S47" i="39"/>
  <c r="Z47" i="39"/>
  <c r="R47" i="39"/>
  <c r="Y47" i="39"/>
  <c r="Q47" i="39"/>
  <c r="X47" i="39"/>
  <c r="P47" i="39"/>
  <c r="W47" i="39"/>
  <c r="O47" i="39"/>
  <c r="V47" i="39"/>
  <c r="N47" i="39"/>
  <c r="K52" i="13" a="1"/>
  <c r="K52" i="13" s="1"/>
  <c r="K79" i="37" s="1" a="1"/>
  <c r="K79" i="37" s="1"/>
  <c r="T75" i="18"/>
  <c r="N111" i="14" a="1"/>
  <c r="N111" i="14" s="1"/>
  <c r="T272" i="23"/>
  <c r="U201" i="23"/>
  <c r="T46" i="23"/>
  <c r="T47" i="23" s="1"/>
  <c r="T49" i="23" s="1"/>
  <c r="T26" i="23"/>
  <c r="V75" i="18"/>
  <c r="N108" i="14" a="1"/>
  <c r="N108" i="14" s="1"/>
  <c r="M142" i="49"/>
  <c r="M26" i="49"/>
  <c r="K138" i="49" a="1"/>
  <c r="K138" i="49" s="1"/>
  <c r="K91" i="49" s="1" a="1"/>
  <c r="K91" i="49" s="1"/>
  <c r="K31" i="58" l="1" a="1"/>
  <c r="K7" i="57" a="1"/>
  <c r="K30" i="58" a="1"/>
  <c r="Y161" i="23" a="1"/>
  <c r="Y161" i="23" s="1"/>
  <c r="AE161" i="23" a="1"/>
  <c r="AE161" i="23" s="1"/>
  <c r="S161" i="23" a="1"/>
  <c r="S161" i="23" s="1"/>
  <c r="Z161" i="23" a="1"/>
  <c r="Z161" i="23" s="1"/>
  <c r="T161" i="23" a="1"/>
  <c r="T161" i="23" s="1"/>
  <c r="V161" i="23" a="1"/>
  <c r="V161" i="23" s="1"/>
  <c r="U161" i="23" a="1"/>
  <c r="U161" i="23" s="1"/>
  <c r="AA161" i="23" a="1"/>
  <c r="AA161" i="23" s="1"/>
  <c r="AB161" i="23" a="1"/>
  <c r="AB161" i="23" s="1"/>
  <c r="AC161" i="23" a="1"/>
  <c r="AC161" i="23" s="1"/>
  <c r="W161" i="23" a="1"/>
  <c r="W161" i="23" s="1"/>
  <c r="AD161" i="23" a="1"/>
  <c r="AD161" i="23" s="1"/>
  <c r="X161" i="23" a="1"/>
  <c r="X161" i="23" s="1"/>
  <c r="Z169" i="23" a="1"/>
  <c r="Z169" i="23" s="1"/>
  <c r="T169" i="23" a="1"/>
  <c r="T169" i="23" s="1"/>
  <c r="S169" i="23" a="1"/>
  <c r="S169" i="23" s="1"/>
  <c r="U169" i="23" a="1"/>
  <c r="U169" i="23" s="1"/>
  <c r="AA169" i="23" a="1"/>
  <c r="AA169" i="23" s="1"/>
  <c r="AC169" i="23" a="1"/>
  <c r="AC169" i="23" s="1"/>
  <c r="W169" i="23" a="1"/>
  <c r="W169" i="23" s="1"/>
  <c r="V169" i="23" a="1"/>
  <c r="V169" i="23" s="1"/>
  <c r="AB169" i="23" a="1"/>
  <c r="AB169" i="23" s="1"/>
  <c r="AD169" i="23" a="1"/>
  <c r="AD169" i="23" s="1"/>
  <c r="X169" i="23" a="1"/>
  <c r="X169" i="23" s="1"/>
  <c r="AE169" i="23" a="1"/>
  <c r="AE169" i="23" s="1"/>
  <c r="Y169" i="23" a="1"/>
  <c r="Y169" i="23" s="1"/>
  <c r="S153" i="23" a="1"/>
  <c r="S153" i="23" s="1"/>
  <c r="K57" i="13" a="1"/>
  <c r="K57" i="13" s="1"/>
  <c r="K84" i="37" s="1" a="1"/>
  <c r="K84" i="37" s="1"/>
  <c r="K55" i="17" a="1"/>
  <c r="K55" i="17" s="1"/>
  <c r="K99" i="37" s="1" a="1"/>
  <c r="K99" i="37" s="1"/>
  <c r="K133" i="49" s="1" a="1"/>
  <c r="K133" i="49" s="1"/>
  <c r="V153" i="23" a="1"/>
  <c r="V153" i="23" s="1"/>
  <c r="Z153" i="23" a="1"/>
  <c r="Z153" i="23" s="1"/>
  <c r="AD153" i="23" a="1"/>
  <c r="AD153" i="23" s="1"/>
  <c r="R153" i="23" a="1"/>
  <c r="R153" i="23" s="1"/>
  <c r="AA153" i="23" a="1"/>
  <c r="AA153" i="23" s="1"/>
  <c r="T153" i="23" a="1"/>
  <c r="T153" i="23" s="1"/>
  <c r="W153" i="23" a="1"/>
  <c r="W153" i="23" s="1"/>
  <c r="AE153" i="23" a="1"/>
  <c r="AE153" i="23" s="1"/>
  <c r="X153" i="23" a="1"/>
  <c r="X153" i="23" s="1"/>
  <c r="AB153" i="23" a="1"/>
  <c r="AB153" i="23" s="1"/>
  <c r="U153" i="23" a="1"/>
  <c r="U153" i="23" s="1"/>
  <c r="Y153" i="23" a="1"/>
  <c r="Y153" i="23" s="1"/>
  <c r="AC153" i="23" a="1"/>
  <c r="AC153" i="23" s="1"/>
  <c r="S277" i="23"/>
  <c r="S280" i="23" s="1"/>
  <c r="R276" i="23"/>
  <c r="R279" i="23" s="1"/>
  <c r="K43" i="13" a="1"/>
  <c r="K43" i="13" s="1"/>
  <c r="K22" i="55" a="1"/>
  <c r="K22" i="55" s="1"/>
  <c r="K17" i="55" s="1"/>
  <c r="K29" i="38" a="1"/>
  <c r="K29" i="38" s="1"/>
  <c r="V25" i="55"/>
  <c r="W25" i="55"/>
  <c r="K25" i="55"/>
  <c r="P25" i="55"/>
  <c r="O25" i="55"/>
  <c r="X25" i="55"/>
  <c r="T25" i="55"/>
  <c r="U25" i="55"/>
  <c r="Q25" i="55"/>
  <c r="R25" i="55"/>
  <c r="M25" i="55"/>
  <c r="S25" i="55"/>
  <c r="N25" i="55"/>
  <c r="V286" i="23"/>
  <c r="K31" i="55" a="1"/>
  <c r="K30" i="55" a="1"/>
  <c r="Y112" i="18"/>
  <c r="Y124" i="18" s="1"/>
  <c r="P112" i="18"/>
  <c r="P124" i="18" s="1"/>
  <c r="R112" i="18"/>
  <c r="R124" i="18" s="1"/>
  <c r="U112" i="18"/>
  <c r="U124" i="18" s="1"/>
  <c r="W112" i="18"/>
  <c r="W124" i="18" s="1"/>
  <c r="N112" i="18"/>
  <c r="N124" i="18" s="1"/>
  <c r="O112" i="18"/>
  <c r="O124" i="18" s="1"/>
  <c r="X112" i="18"/>
  <c r="X124" i="18" s="1"/>
  <c r="Q112" i="18"/>
  <c r="Q124" i="18" s="1"/>
  <c r="K55" i="13" a="1"/>
  <c r="K55" i="13" s="1"/>
  <c r="K27" i="13" s="1" a="1"/>
  <c r="K27" i="13" s="1"/>
  <c r="K102" i="37" a="1"/>
  <c r="K102" i="37" s="1"/>
  <c r="K136" i="49" s="1" a="1"/>
  <c r="K136" i="49" s="1"/>
  <c r="K87" i="49" s="1" a="1"/>
  <c r="K87" i="49" s="1"/>
  <c r="K43" i="17" a="1"/>
  <c r="K43" i="17" s="1"/>
  <c r="K95" i="37" a="1"/>
  <c r="K95" i="37" s="1"/>
  <c r="K129" i="49" s="1" a="1"/>
  <c r="K129" i="49" s="1"/>
  <c r="K30" i="17"/>
  <c r="V28" i="17"/>
  <c r="S51" i="18"/>
  <c r="AB60" i="23"/>
  <c r="AB63" i="23" s="1"/>
  <c r="V60" i="23"/>
  <c r="V63" i="23" s="1"/>
  <c r="AD60" i="23"/>
  <c r="AD63" i="23" s="1"/>
  <c r="AE60" i="23"/>
  <c r="AE63" i="23" s="1"/>
  <c r="U60" i="23"/>
  <c r="U63" i="23" s="1"/>
  <c r="N63" i="23"/>
  <c r="X60" i="23"/>
  <c r="X63" i="23" s="1"/>
  <c r="R60" i="23"/>
  <c r="R63" i="23" s="1"/>
  <c r="Z60" i="23"/>
  <c r="Z63" i="23" s="1"/>
  <c r="AC60" i="23"/>
  <c r="AC63" i="23" s="1"/>
  <c r="S60" i="23"/>
  <c r="S63" i="23" s="1"/>
  <c r="T60" i="23"/>
  <c r="T63" i="23" s="1"/>
  <c r="Y60" i="23"/>
  <c r="Y63" i="23" s="1"/>
  <c r="W60" i="23"/>
  <c r="W63" i="23" s="1"/>
  <c r="AA60" i="23"/>
  <c r="AA63" i="23" s="1"/>
  <c r="V112" i="18"/>
  <c r="V124" i="18" s="1"/>
  <c r="P114" i="18"/>
  <c r="P125" i="18" s="1"/>
  <c r="K17" i="54"/>
  <c r="N35" i="14"/>
  <c r="R227" i="14"/>
  <c r="S227" i="14" s="1"/>
  <c r="K14" i="37" a="1"/>
  <c r="K56" i="13" a="1"/>
  <c r="K56" i="13" s="1"/>
  <c r="K44" i="13" a="1"/>
  <c r="K44" i="13" s="1"/>
  <c r="AA114" i="18"/>
  <c r="AA125" i="18" s="1"/>
  <c r="R28" i="17"/>
  <c r="K22" i="13" a="1"/>
  <c r="K22" i="13" s="1"/>
  <c r="V86" i="18"/>
  <c r="W28" i="17"/>
  <c r="K49" i="17"/>
  <c r="AA86" i="18"/>
  <c r="X28" i="17"/>
  <c r="Q114" i="18"/>
  <c r="Q125" i="18" s="1"/>
  <c r="P28" i="17"/>
  <c r="Q28" i="17"/>
  <c r="L28" i="17"/>
  <c r="N86" i="18"/>
  <c r="K24" i="38"/>
  <c r="AB42" i="23"/>
  <c r="S276" i="23"/>
  <c r="U40" i="23"/>
  <c r="K23" i="13" a="1"/>
  <c r="N38" i="13" s="1" a="1"/>
  <c r="N38" i="13" s="1"/>
  <c r="O28" i="17"/>
  <c r="M28" i="17"/>
  <c r="N28" i="17"/>
  <c r="U28" i="17"/>
  <c r="S28" i="17"/>
  <c r="Y114" i="18"/>
  <c r="Y125" i="18" s="1"/>
  <c r="V44" i="23"/>
  <c r="N209" i="14" a="1"/>
  <c r="N209" i="14" s="1"/>
  <c r="K59" i="22" a="1"/>
  <c r="K59" i="22" s="1"/>
  <c r="K75" i="37" a="1"/>
  <c r="K75" i="37" s="1"/>
  <c r="W29" i="17"/>
  <c r="S29" i="17"/>
  <c r="V29" i="17"/>
  <c r="T29" i="17"/>
  <c r="L29" i="17"/>
  <c r="P29" i="17"/>
  <c r="M29" i="17"/>
  <c r="Q29" i="17"/>
  <c r="N29" i="17"/>
  <c r="R29" i="17"/>
  <c r="K50" i="17"/>
  <c r="K94" i="37" s="1" a="1"/>
  <c r="K94" i="37" s="1"/>
  <c r="K128" i="49" s="1" a="1"/>
  <c r="X29" i="17"/>
  <c r="U29" i="17"/>
  <c r="S44" i="23"/>
  <c r="AA44" i="23"/>
  <c r="Y44" i="23"/>
  <c r="N210" i="14" a="1"/>
  <c r="N210" i="14" s="1"/>
  <c r="AA40" i="23"/>
  <c r="V42" i="23"/>
  <c r="X114" i="18"/>
  <c r="X125" i="18" s="1"/>
  <c r="R114" i="18"/>
  <c r="R125" i="18" s="1"/>
  <c r="AD40" i="23"/>
  <c r="W114" i="18"/>
  <c r="W125" i="18" s="1"/>
  <c r="AB40" i="23"/>
  <c r="Z42" i="23"/>
  <c r="T114" i="18"/>
  <c r="T125" i="18" s="1"/>
  <c r="R44" i="23"/>
  <c r="AC40" i="23"/>
  <c r="N114" i="18"/>
  <c r="N125" i="18" s="1"/>
  <c r="U114" i="18"/>
  <c r="U125" i="18" s="1"/>
  <c r="Z114" i="18"/>
  <c r="Z125" i="18" s="1"/>
  <c r="V114" i="18"/>
  <c r="R42" i="23"/>
  <c r="T40" i="23"/>
  <c r="W44" i="23"/>
  <c r="V113" i="18"/>
  <c r="AB44" i="23"/>
  <c r="AD42" i="23"/>
  <c r="W42" i="23"/>
  <c r="Y42" i="23"/>
  <c r="N205" i="14" a="1"/>
  <c r="N205" i="14" s="1"/>
  <c r="T39" i="23"/>
  <c r="AE42" i="23"/>
  <c r="N206" i="14" a="1"/>
  <c r="N206" i="14" s="1"/>
  <c r="U44" i="23"/>
  <c r="K102" i="49" a="1"/>
  <c r="K102" i="49" s="1"/>
  <c r="AE44" i="23"/>
  <c r="K74" i="22" a="1"/>
  <c r="K74" i="22" s="1"/>
  <c r="K44" i="22" s="1" a="1"/>
  <c r="K44" i="22" s="1"/>
  <c r="K43" i="22" s="1" a="1"/>
  <c r="K43" i="22" s="1"/>
  <c r="K42" i="22" s="1" a="1"/>
  <c r="K42" i="22" s="1"/>
  <c r="K19" i="22" s="1" a="1"/>
  <c r="K19" i="22" s="1"/>
  <c r="AC44" i="23"/>
  <c r="W39" i="23"/>
  <c r="U86" i="18"/>
  <c r="K51" i="13" a="1"/>
  <c r="K51" i="13" s="1"/>
  <c r="K78" i="37" s="1" a="1"/>
  <c r="K78" i="37" s="1"/>
  <c r="K103" i="49" a="1"/>
  <c r="K103" i="49" s="1"/>
  <c r="N131" i="14" a="1"/>
  <c r="N131" i="14" s="1"/>
  <c r="X44" i="23"/>
  <c r="O114" i="18"/>
  <c r="O125" i="18" s="1"/>
  <c r="K32" i="13" a="1"/>
  <c r="K32" i="13" s="1"/>
  <c r="K15" i="37" a="1"/>
  <c r="K62" i="37" a="1"/>
  <c r="K62" i="37" s="1"/>
  <c r="S114" i="18"/>
  <c r="S125" i="18" s="1"/>
  <c r="P30" i="17"/>
  <c r="U30" i="17"/>
  <c r="L130" i="49"/>
  <c r="L59" i="49" s="1"/>
  <c r="M130" i="49"/>
  <c r="M59" i="49" s="1"/>
  <c r="T130" i="49"/>
  <c r="T59" i="49" s="1"/>
  <c r="S130" i="49"/>
  <c r="S59" i="49" s="1"/>
  <c r="W30" i="17"/>
  <c r="K96" i="37"/>
  <c r="K130" i="49" s="1"/>
  <c r="K59" i="49" s="1"/>
  <c r="T30" i="17"/>
  <c r="Q130" i="49"/>
  <c r="Q59" i="49" s="1"/>
  <c r="K103" i="37" a="1"/>
  <c r="K103" i="37" s="1"/>
  <c r="K137" i="49" s="1" a="1"/>
  <c r="K137" i="49" s="1"/>
  <c r="K89" i="49" s="1" a="1"/>
  <c r="K89" i="49" s="1"/>
  <c r="K88" i="49" s="1" a="1"/>
  <c r="K88" i="49" s="1"/>
  <c r="R130" i="49"/>
  <c r="R59" i="49" s="1"/>
  <c r="S30" i="17"/>
  <c r="L30" i="17"/>
  <c r="V30" i="17"/>
  <c r="M30" i="17"/>
  <c r="N130" i="49"/>
  <c r="N59" i="49" s="1"/>
  <c r="Q30" i="17"/>
  <c r="V130" i="49"/>
  <c r="V59" i="49" s="1"/>
  <c r="R30" i="17"/>
  <c r="W130" i="49"/>
  <c r="W59" i="49" s="1"/>
  <c r="O30" i="17"/>
  <c r="N30" i="17"/>
  <c r="O130" i="49"/>
  <c r="O59" i="49" s="1"/>
  <c r="X30" i="17"/>
  <c r="P130" i="49"/>
  <c r="P59" i="49" s="1"/>
  <c r="U130" i="49"/>
  <c r="U59" i="49" s="1"/>
  <c r="X130" i="49"/>
  <c r="X59" i="49" s="1"/>
  <c r="K44" i="17"/>
  <c r="R169" i="23" a="1"/>
  <c r="R169" i="23" s="1"/>
  <c r="AB39" i="23"/>
  <c r="U39" i="23"/>
  <c r="K58" i="22" a="1"/>
  <c r="K58" i="22" s="1"/>
  <c r="V39" i="23"/>
  <c r="T86" i="18"/>
  <c r="X40" i="23"/>
  <c r="AD39" i="23"/>
  <c r="N132" i="14" a="1"/>
  <c r="N132" i="14" s="1"/>
  <c r="Y40" i="23"/>
  <c r="X39" i="23"/>
  <c r="AD44" i="23"/>
  <c r="AE40" i="23"/>
  <c r="R40" i="23"/>
  <c r="Y39" i="23"/>
  <c r="AE39" i="23"/>
  <c r="W40" i="23"/>
  <c r="AC39" i="23"/>
  <c r="Z40" i="23"/>
  <c r="R39" i="23"/>
  <c r="AA42" i="23"/>
  <c r="T42" i="23"/>
  <c r="X42" i="23"/>
  <c r="S42" i="23"/>
  <c r="AC42" i="23"/>
  <c r="U42" i="23"/>
  <c r="T44" i="23"/>
  <c r="S39" i="23"/>
  <c r="AA39" i="23"/>
  <c r="Z39" i="23"/>
  <c r="K118" i="49" a="1"/>
  <c r="K118" i="49" s="1"/>
  <c r="K84" i="49" s="1" a="1"/>
  <c r="K84" i="49" s="1"/>
  <c r="K50" i="13" a="1"/>
  <c r="K50" i="13" s="1"/>
  <c r="K77" i="37" s="1" a="1"/>
  <c r="K77" i="37" s="1"/>
  <c r="K40" i="37" s="1" a="1"/>
  <c r="K40" i="37" s="1"/>
  <c r="V40" i="23"/>
  <c r="Z86" i="18"/>
  <c r="N54" i="14"/>
  <c r="N53" i="14"/>
  <c r="S40" i="23"/>
  <c r="Z44" i="23"/>
  <c r="O86" i="18"/>
  <c r="U272" i="23"/>
  <c r="V201" i="23"/>
  <c r="U46" i="23"/>
  <c r="U47" i="23" s="1"/>
  <c r="U49" i="23" s="1"/>
  <c r="U26" i="23"/>
  <c r="R161" i="23" a="1"/>
  <c r="R161" i="23" s="1"/>
  <c r="T277" i="23"/>
  <c r="T280" i="23" s="1"/>
  <c r="T276" i="23"/>
  <c r="Q86" i="18"/>
  <c r="Y86" i="18"/>
  <c r="T144" i="18"/>
  <c r="S145" i="18"/>
  <c r="S146" i="18" s="1"/>
  <c r="W286" i="23"/>
  <c r="V287" i="23"/>
  <c r="S86" i="18"/>
  <c r="Q25" i="38"/>
  <c r="K33" i="38"/>
  <c r="K25" i="38" s="1"/>
  <c r="X25" i="38"/>
  <c r="P25" i="38"/>
  <c r="V25" i="38"/>
  <c r="N25" i="38"/>
  <c r="S25" i="38"/>
  <c r="U25" i="38"/>
  <c r="R25" i="38"/>
  <c r="M25" i="38"/>
  <c r="W25" i="38"/>
  <c r="L25" i="38"/>
  <c r="O25" i="38"/>
  <c r="T25" i="38"/>
  <c r="K88" i="37" a="1"/>
  <c r="K88" i="37" s="1"/>
  <c r="W86" i="18"/>
  <c r="R86" i="18"/>
  <c r="X86" i="18"/>
  <c r="R209" i="18"/>
  <c r="L24" i="38"/>
  <c r="T23" i="58" l="1"/>
  <c r="L23" i="58"/>
  <c r="W23" i="58"/>
  <c r="O23" i="58"/>
  <c r="S23" i="58"/>
  <c r="S18" i="58" s="1"/>
  <c r="R23" i="58"/>
  <c r="Q23" i="58"/>
  <c r="X23" i="58"/>
  <c r="X18" i="58" s="1"/>
  <c r="P23" i="58"/>
  <c r="U23" i="58"/>
  <c r="M23" i="58"/>
  <c r="K30" i="58"/>
  <c r="K23" i="58" s="1"/>
  <c r="V23" i="58"/>
  <c r="N23" i="58"/>
  <c r="W40" i="57"/>
  <c r="W42" i="57" s="1"/>
  <c r="O40" i="57"/>
  <c r="O42" i="57" s="1"/>
  <c r="V40" i="57"/>
  <c r="V42" i="57" s="1"/>
  <c r="N40" i="57"/>
  <c r="N42" i="57" s="1"/>
  <c r="K7" i="57"/>
  <c r="K40" i="57" s="1"/>
  <c r="K42" i="57" s="1"/>
  <c r="U40" i="57"/>
  <c r="U42" i="57" s="1"/>
  <c r="T40" i="57"/>
  <c r="T42" i="57" s="1"/>
  <c r="M40" i="57"/>
  <c r="M42" i="57" s="1"/>
  <c r="L40" i="57"/>
  <c r="L42" i="57" s="1"/>
  <c r="P40" i="57"/>
  <c r="P42" i="57" s="1"/>
  <c r="X40" i="57"/>
  <c r="X42" i="57" s="1"/>
  <c r="R40" i="57"/>
  <c r="R42" i="57" s="1"/>
  <c r="Q40" i="57"/>
  <c r="Q42" i="57" s="1"/>
  <c r="S40" i="57"/>
  <c r="S42" i="57" s="1"/>
  <c r="Q24" i="58"/>
  <c r="S24" i="58"/>
  <c r="K31" i="58"/>
  <c r="K24" i="58" s="1"/>
  <c r="P24" i="58"/>
  <c r="X24" i="58"/>
  <c r="U24" i="58"/>
  <c r="T24" i="58"/>
  <c r="N24" i="58"/>
  <c r="W24" i="58"/>
  <c r="L24" i="58"/>
  <c r="M24" i="58"/>
  <c r="V24" i="58"/>
  <c r="R24" i="58"/>
  <c r="O24" i="58"/>
  <c r="K93" i="37" a="1"/>
  <c r="K93" i="37" s="1"/>
  <c r="K127" i="49" s="1" a="1"/>
  <c r="K127" i="49" s="1"/>
  <c r="K58" i="49" s="1"/>
  <c r="K28" i="17"/>
  <c r="K28" i="13" a="1"/>
  <c r="K28" i="13" s="1"/>
  <c r="K26" i="13" s="1" a="1"/>
  <c r="K26" i="13" s="1"/>
  <c r="K22" i="38" a="1"/>
  <c r="X17" i="38" s="1"/>
  <c r="K128" i="49"/>
  <c r="K62" i="49" s="1"/>
  <c r="R62" i="49"/>
  <c r="S62" i="49"/>
  <c r="N62" i="49"/>
  <c r="L62" i="49"/>
  <c r="T62" i="49"/>
  <c r="V62" i="49"/>
  <c r="M62" i="49"/>
  <c r="U62" i="49"/>
  <c r="O62" i="49"/>
  <c r="W62" i="49"/>
  <c r="P62" i="49"/>
  <c r="X62" i="49"/>
  <c r="Q62" i="49"/>
  <c r="K83" i="49" a="1"/>
  <c r="K83" i="49" s="1"/>
  <c r="K81" i="49" s="1" a="1"/>
  <c r="K81" i="49" s="1"/>
  <c r="K31" i="49" s="1" a="1"/>
  <c r="K31" i="49" s="1"/>
  <c r="K8" i="49" s="1" a="1"/>
  <c r="K8" i="49" s="1"/>
  <c r="K60" i="13" a="1"/>
  <c r="K60" i="13" s="1"/>
  <c r="K87" i="37" s="1" a="1"/>
  <c r="K87" i="37" s="1"/>
  <c r="R275" i="23"/>
  <c r="R278" i="23" s="1"/>
  <c r="S279" i="23"/>
  <c r="K82" i="37" a="1"/>
  <c r="K82" i="37" s="1"/>
  <c r="K54" i="37" s="1" a="1"/>
  <c r="K54" i="37" s="1"/>
  <c r="K59" i="13" a="1"/>
  <c r="K59" i="13" s="1"/>
  <c r="U17" i="55"/>
  <c r="V17" i="55"/>
  <c r="T42" i="17"/>
  <c r="T23" i="17" s="1"/>
  <c r="O17" i="55"/>
  <c r="R17" i="55"/>
  <c r="W17" i="55"/>
  <c r="S17" i="55"/>
  <c r="W42" i="17"/>
  <c r="W23" i="17" s="1"/>
  <c r="Q17" i="55"/>
  <c r="P17" i="55"/>
  <c r="S275" i="23"/>
  <c r="L17" i="55"/>
  <c r="N17" i="55"/>
  <c r="T17" i="55"/>
  <c r="X17" i="55"/>
  <c r="M17" i="55"/>
  <c r="M24" i="38"/>
  <c r="R23" i="55"/>
  <c r="Q23" i="55"/>
  <c r="X23" i="55"/>
  <c r="P23" i="55"/>
  <c r="W23" i="55"/>
  <c r="O23" i="55"/>
  <c r="K30" i="55"/>
  <c r="K23" i="55" s="1"/>
  <c r="V23" i="55"/>
  <c r="N23" i="55"/>
  <c r="S23" i="55"/>
  <c r="U23" i="55"/>
  <c r="T23" i="55"/>
  <c r="M23" i="55"/>
  <c r="L23" i="55"/>
  <c r="K31" i="55"/>
  <c r="K24" i="55" s="1"/>
  <c r="X24" i="55"/>
  <c r="P24" i="55"/>
  <c r="U24" i="55"/>
  <c r="M24" i="55"/>
  <c r="W24" i="55"/>
  <c r="V24" i="55"/>
  <c r="O24" i="55"/>
  <c r="N24" i="55"/>
  <c r="L24" i="55"/>
  <c r="Q24" i="55"/>
  <c r="T24" i="55"/>
  <c r="S24" i="55"/>
  <c r="R24" i="55"/>
  <c r="K53" i="13" a="1"/>
  <c r="K53" i="13" s="1"/>
  <c r="K80" i="37" s="1" a="1"/>
  <c r="K80" i="37" s="1"/>
  <c r="K41" i="37" s="1" a="1"/>
  <c r="K41" i="37" s="1"/>
  <c r="V42" i="17"/>
  <c r="V23" i="17" s="1"/>
  <c r="R42" i="17"/>
  <c r="R23" i="17" s="1"/>
  <c r="Q42" i="17"/>
  <c r="Q23" i="17" s="1"/>
  <c r="M42" i="17"/>
  <c r="M23" i="17" s="1"/>
  <c r="X42" i="17"/>
  <c r="X23" i="17" s="1"/>
  <c r="S42" i="17"/>
  <c r="S23" i="17" s="1"/>
  <c r="P42" i="17"/>
  <c r="P23" i="17" s="1"/>
  <c r="N42" i="17"/>
  <c r="N23" i="17" s="1"/>
  <c r="U42" i="17"/>
  <c r="U23" i="17" s="1"/>
  <c r="K42" i="17"/>
  <c r="K23" i="17" s="1"/>
  <c r="O42" i="17"/>
  <c r="O23" i="17" s="1"/>
  <c r="L42" i="17"/>
  <c r="L23" i="17" s="1"/>
  <c r="K108" i="49" a="1"/>
  <c r="K108" i="49" s="1"/>
  <c r="K61" i="49" s="1" a="1"/>
  <c r="R228" i="14"/>
  <c r="K64" i="22" a="1"/>
  <c r="K64" i="22" s="1"/>
  <c r="K28" i="22" s="1" a="1"/>
  <c r="K28" i="22" s="1"/>
  <c r="V58" i="49"/>
  <c r="M65" i="49" s="1" a="1"/>
  <c r="M65" i="49" s="1"/>
  <c r="K15" i="37"/>
  <c r="K39" i="37" s="1" a="1"/>
  <c r="K39" i="37" s="1"/>
  <c r="L21" i="37"/>
  <c r="L23" i="37" s="1"/>
  <c r="M21" i="37"/>
  <c r="M23" i="37" s="1"/>
  <c r="P21" i="37"/>
  <c r="P23" i="37" s="1"/>
  <c r="R21" i="37"/>
  <c r="R23" i="37" s="1"/>
  <c r="S21" i="37"/>
  <c r="S23" i="37" s="1"/>
  <c r="U21" i="37"/>
  <c r="U23" i="37" s="1"/>
  <c r="V21" i="37"/>
  <c r="V23" i="37" s="1"/>
  <c r="W21" i="37"/>
  <c r="W23" i="37" s="1"/>
  <c r="N21" i="37"/>
  <c r="N23" i="37" s="1"/>
  <c r="O21" i="37"/>
  <c r="O23" i="37" s="1"/>
  <c r="Q21" i="37"/>
  <c r="Q23" i="37" s="1"/>
  <c r="T21" i="37"/>
  <c r="T23" i="37" s="1"/>
  <c r="X21" i="37"/>
  <c r="X23" i="37" s="1"/>
  <c r="L17" i="38"/>
  <c r="W24" i="38"/>
  <c r="U24" i="38"/>
  <c r="M17" i="38"/>
  <c r="P24" i="38"/>
  <c r="N24" i="38"/>
  <c r="N17" i="38"/>
  <c r="X24" i="38"/>
  <c r="V24" i="38"/>
  <c r="Q24" i="38"/>
  <c r="Q17" i="38"/>
  <c r="O24" i="38"/>
  <c r="R24" i="38"/>
  <c r="T17" i="38"/>
  <c r="R17" i="38"/>
  <c r="K18" i="54"/>
  <c r="S24" i="38"/>
  <c r="P17" i="38"/>
  <c r="T24" i="38"/>
  <c r="K8" i="22" a="1"/>
  <c r="K8" i="22" s="1"/>
  <c r="N35" i="24" s="1" a="1"/>
  <c r="N35" i="24" s="1"/>
  <c r="S58" i="49"/>
  <c r="K29" i="17"/>
  <c r="L38" i="13" a="1"/>
  <c r="L38" i="13" s="1"/>
  <c r="O38" i="13" a="1"/>
  <c r="O38" i="13" s="1"/>
  <c r="P38" i="13" s="1"/>
  <c r="Q38" i="13" s="1"/>
  <c r="R38" i="13" s="1"/>
  <c r="S38" i="13" s="1"/>
  <c r="O39" i="13" s="1"/>
  <c r="Q58" i="49"/>
  <c r="R58" i="49"/>
  <c r="K23" i="13"/>
  <c r="K38" i="13" a="1"/>
  <c r="K38" i="13" s="1"/>
  <c r="M38" i="13" a="1"/>
  <c r="M38" i="13" s="1"/>
  <c r="K83" i="37" a="1"/>
  <c r="K83" i="37" s="1"/>
  <c r="K55" i="37" s="1" a="1"/>
  <c r="K55" i="37" s="1"/>
  <c r="K14" i="37"/>
  <c r="K116" i="37" s="1" a="1"/>
  <c r="S17" i="38"/>
  <c r="O17" i="38"/>
  <c r="K26" i="22" a="1"/>
  <c r="K26" i="22" s="1"/>
  <c r="U17" i="38"/>
  <c r="V17" i="38"/>
  <c r="T52" i="23"/>
  <c r="AA52" i="23"/>
  <c r="AB52" i="23"/>
  <c r="S52" i="23"/>
  <c r="N65" i="14"/>
  <c r="X52" i="23"/>
  <c r="W52" i="23"/>
  <c r="V125" i="18"/>
  <c r="Z52" i="23"/>
  <c r="AD52" i="23"/>
  <c r="Y52" i="23"/>
  <c r="K39" i="49" a="1"/>
  <c r="K39" i="49" s="1"/>
  <c r="R52" i="23"/>
  <c r="AC52" i="23"/>
  <c r="K24" i="13" a="1"/>
  <c r="K24" i="13" s="1"/>
  <c r="U52" i="23"/>
  <c r="V52" i="23"/>
  <c r="AE52" i="23"/>
  <c r="V272" i="23"/>
  <c r="W201" i="23"/>
  <c r="V26" i="23"/>
  <c r="V46" i="23"/>
  <c r="V47" i="23" s="1"/>
  <c r="V49" i="23" s="1"/>
  <c r="S209" i="18"/>
  <c r="T209" i="18" s="1"/>
  <c r="U209" i="18" s="1"/>
  <c r="X209" i="18" s="1" a="1"/>
  <c r="X209" i="18" s="1"/>
  <c r="U276" i="23"/>
  <c r="U277" i="23"/>
  <c r="U280" i="23" s="1"/>
  <c r="T145" i="18"/>
  <c r="U144" i="18"/>
  <c r="S228" i="14"/>
  <c r="T227" i="14"/>
  <c r="U23" i="38"/>
  <c r="M23" i="38"/>
  <c r="T23" i="38"/>
  <c r="L23" i="38"/>
  <c r="S23" i="38"/>
  <c r="R23" i="38"/>
  <c r="X23" i="38"/>
  <c r="P23" i="38"/>
  <c r="W23" i="38"/>
  <c r="O23" i="38"/>
  <c r="Q23" i="38"/>
  <c r="N23" i="38"/>
  <c r="K23" i="38"/>
  <c r="V23" i="38"/>
  <c r="X286" i="23"/>
  <c r="W287" i="23"/>
  <c r="T279" i="23"/>
  <c r="T275" i="23"/>
  <c r="K111" i="49" a="1"/>
  <c r="K67" i="22" a="1"/>
  <c r="N58" i="49" l="1"/>
  <c r="O58" i="49"/>
  <c r="Q18" i="58"/>
  <c r="N18" i="58"/>
  <c r="R18" i="58"/>
  <c r="W58" i="49"/>
  <c r="N65" i="49" s="1" a="1"/>
  <c r="N65" i="49" s="1"/>
  <c r="L58" i="49"/>
  <c r="K18" i="58"/>
  <c r="O18" i="58"/>
  <c r="V18" i="58"/>
  <c r="K9" i="57" a="1"/>
  <c r="K9" i="57" s="1"/>
  <c r="N51" i="24" s="1" a="1"/>
  <c r="N51" i="24" s="1"/>
  <c r="M18" i="58"/>
  <c r="W18" i="58"/>
  <c r="X58" i="49"/>
  <c r="O65" i="49" s="1" a="1"/>
  <c r="O65" i="49" s="1"/>
  <c r="P65" i="49" s="1"/>
  <c r="Q65" i="49" s="1"/>
  <c r="R65" i="49" s="1"/>
  <c r="S65" i="49" s="1"/>
  <c r="T65" i="49" s="1"/>
  <c r="U65" i="49" s="1"/>
  <c r="V65" i="49" s="1"/>
  <c r="W65" i="49" s="1"/>
  <c r="X65" i="49" s="1"/>
  <c r="X63" i="49" s="1"/>
  <c r="U58" i="49"/>
  <c r="L65" i="49" s="1" a="1"/>
  <c r="L65" i="49" s="1"/>
  <c r="P58" i="49"/>
  <c r="U18" i="58"/>
  <c r="L18" i="58"/>
  <c r="T58" i="49"/>
  <c r="K65" i="49" s="1" a="1"/>
  <c r="K65" i="49" s="1"/>
  <c r="M58" i="49"/>
  <c r="P18" i="58"/>
  <c r="T18" i="58"/>
  <c r="T278" i="23"/>
  <c r="S278" i="23"/>
  <c r="W17" i="38"/>
  <c r="K22" i="38"/>
  <c r="K17" i="38" s="1"/>
  <c r="K7" i="38" s="1" a="1"/>
  <c r="K7" i="38" s="1"/>
  <c r="K116" i="37"/>
  <c r="K42" i="13" a="1"/>
  <c r="K42" i="13" s="1"/>
  <c r="K41" i="13" s="1" a="1"/>
  <c r="K41" i="13" s="1"/>
  <c r="K17" i="13" s="1" a="1"/>
  <c r="K17" i="13" s="1"/>
  <c r="K8" i="13" s="1" a="1"/>
  <c r="K8" i="13" s="1"/>
  <c r="N36" i="24" s="1" a="1"/>
  <c r="N36" i="24" s="1"/>
  <c r="K86" i="37" a="1"/>
  <c r="P67" i="37" s="1"/>
  <c r="K7" i="55" a="1"/>
  <c r="K7" i="55" s="1"/>
  <c r="K25" i="13" a="1"/>
  <c r="K25" i="13" s="1"/>
  <c r="K21" i="13" s="1" a="1"/>
  <c r="K21" i="13" s="1"/>
  <c r="K9" i="17" a="1"/>
  <c r="K9" i="17" s="1"/>
  <c r="N37" i="24" s="1" a="1"/>
  <c r="N37" i="24" s="1"/>
  <c r="K41" i="49" a="1"/>
  <c r="K41" i="49" s="1"/>
  <c r="K39" i="13"/>
  <c r="T38" i="13"/>
  <c r="U38" i="13" s="1"/>
  <c r="V38" i="13" s="1"/>
  <c r="W38" i="13" s="1"/>
  <c r="X38" i="13" s="1"/>
  <c r="W39" i="13"/>
  <c r="K11" i="37" a="1"/>
  <c r="K11" i="37" s="1"/>
  <c r="K21" i="37"/>
  <c r="L39" i="13"/>
  <c r="K19" i="54"/>
  <c r="X39" i="13"/>
  <c r="S39" i="13"/>
  <c r="K30" i="13" a="1"/>
  <c r="K30" i="13" s="1"/>
  <c r="V39" i="13"/>
  <c r="T39" i="13"/>
  <c r="M39" i="13"/>
  <c r="N39" i="13"/>
  <c r="R39" i="13"/>
  <c r="U39" i="13"/>
  <c r="Q39" i="13"/>
  <c r="P39" i="13"/>
  <c r="L108" i="37"/>
  <c r="L27" i="37"/>
  <c r="L28" i="37"/>
  <c r="L44" i="37"/>
  <c r="L43" i="37"/>
  <c r="X27" i="37"/>
  <c r="X28" i="37"/>
  <c r="X108" i="37"/>
  <c r="X43" i="37"/>
  <c r="O50" i="37" s="1" a="1"/>
  <c r="O50" i="37" s="1"/>
  <c r="P50" i="37" s="1"/>
  <c r="Q50" i="37" s="1"/>
  <c r="R50" i="37" s="1"/>
  <c r="S50" i="37" s="1"/>
  <c r="T50" i="37" s="1"/>
  <c r="U50" i="37" s="1"/>
  <c r="X44" i="37"/>
  <c r="K113" i="37" a="1"/>
  <c r="K113" i="37" s="1"/>
  <c r="Q28" i="37"/>
  <c r="Q27" i="37"/>
  <c r="Q108" i="37"/>
  <c r="Q44" i="37"/>
  <c r="Q43" i="37"/>
  <c r="T27" i="37"/>
  <c r="T28" i="37"/>
  <c r="T108" i="37"/>
  <c r="T43" i="37"/>
  <c r="K50" i="37" s="1" a="1"/>
  <c r="K50" i="37" s="1"/>
  <c r="T44" i="37"/>
  <c r="K38" i="37" a="1"/>
  <c r="K38" i="37" s="1"/>
  <c r="K37" i="37" s="1"/>
  <c r="N39" i="24" a="1"/>
  <c r="N39" i="24" s="1"/>
  <c r="N108" i="37"/>
  <c r="N27" i="37"/>
  <c r="N28" i="37"/>
  <c r="N43" i="37"/>
  <c r="N44" i="37"/>
  <c r="M27" i="37"/>
  <c r="M108" i="37"/>
  <c r="M28" i="37"/>
  <c r="M43" i="37"/>
  <c r="M44" i="37"/>
  <c r="V28" i="37"/>
  <c r="V108" i="37"/>
  <c r="V27" i="37"/>
  <c r="V43" i="37"/>
  <c r="M50" i="37" s="1" a="1"/>
  <c r="M50" i="37" s="1"/>
  <c r="V44" i="37"/>
  <c r="S28" i="37"/>
  <c r="S27" i="37"/>
  <c r="S108" i="37"/>
  <c r="S43" i="37"/>
  <c r="S44" i="37"/>
  <c r="U108" i="37"/>
  <c r="U28" i="37"/>
  <c r="U27" i="37"/>
  <c r="U44" i="37"/>
  <c r="U43" i="37"/>
  <c r="L50" i="37" s="1" a="1"/>
  <c r="L50" i="37" s="1"/>
  <c r="O108" i="37"/>
  <c r="O28" i="37"/>
  <c r="O27" i="37"/>
  <c r="O44" i="37"/>
  <c r="O43" i="37"/>
  <c r="W28" i="37"/>
  <c r="W27" i="37"/>
  <c r="W108" i="37"/>
  <c r="W44" i="37"/>
  <c r="W43" i="37"/>
  <c r="N50" i="37" s="1" a="1"/>
  <c r="N50" i="37" s="1"/>
  <c r="P27" i="37"/>
  <c r="P108" i="37"/>
  <c r="P28" i="37"/>
  <c r="P43" i="37"/>
  <c r="P44" i="37"/>
  <c r="R28" i="37"/>
  <c r="R27" i="37"/>
  <c r="R108" i="37"/>
  <c r="R44" i="37"/>
  <c r="R43" i="37"/>
  <c r="AA209" i="18" a="1"/>
  <c r="AA209" i="18" s="1"/>
  <c r="W209" i="18" a="1"/>
  <c r="W209" i="18" s="1"/>
  <c r="K106" i="49" a="1"/>
  <c r="K106" i="49" s="1"/>
  <c r="K40" i="49" s="1" a="1"/>
  <c r="K40" i="49" s="1"/>
  <c r="Y209" i="18" a="1"/>
  <c r="Y209" i="18" s="1"/>
  <c r="K62" i="22" a="1"/>
  <c r="K62" i="22" s="1"/>
  <c r="K27" i="22" s="1" a="1"/>
  <c r="K27" i="22" s="1"/>
  <c r="Z209" i="18" a="1"/>
  <c r="Z209" i="18" s="1"/>
  <c r="K33" i="22" a="1"/>
  <c r="K33" i="22" s="1"/>
  <c r="K67" i="22"/>
  <c r="K31" i="22" s="1" a="1"/>
  <c r="K31" i="22" s="1"/>
  <c r="K35" i="22" a="1"/>
  <c r="K35" i="22" s="1"/>
  <c r="K32" i="22" a="1"/>
  <c r="K32" i="22" s="1"/>
  <c r="K34" i="22" a="1"/>
  <c r="K34" i="22" s="1"/>
  <c r="K36" i="22" a="1"/>
  <c r="K36" i="22" s="1"/>
  <c r="K45" i="49" a="1"/>
  <c r="K45" i="49" s="1"/>
  <c r="K47" i="49" a="1"/>
  <c r="K47" i="49" s="1"/>
  <c r="K46" i="49" a="1"/>
  <c r="K46" i="49" s="1"/>
  <c r="K48" i="49" a="1"/>
  <c r="K48" i="49" s="1"/>
  <c r="K111" i="49"/>
  <c r="K44" i="49" s="1" a="1"/>
  <c r="K44" i="49" s="1"/>
  <c r="K49" i="49" a="1"/>
  <c r="K49" i="49" s="1"/>
  <c r="X201" i="23"/>
  <c r="W272" i="23"/>
  <c r="W46" i="23"/>
  <c r="W47" i="23" s="1"/>
  <c r="W49" i="23" s="1"/>
  <c r="W26" i="23"/>
  <c r="U279" i="23"/>
  <c r="U275" i="23"/>
  <c r="U278" i="23" s="1"/>
  <c r="Y286" i="23"/>
  <c r="X287" i="23"/>
  <c r="V276" i="23"/>
  <c r="V277" i="23"/>
  <c r="V280" i="23" s="1"/>
  <c r="U227" i="14"/>
  <c r="T228" i="14"/>
  <c r="T146" i="18"/>
  <c r="U145" i="18"/>
  <c r="U146" i="18" s="1"/>
  <c r="V144" i="18"/>
  <c r="K61" i="49"/>
  <c r="K8" i="58" l="1" a="1"/>
  <c r="T67" i="37"/>
  <c r="U67" i="37"/>
  <c r="K86" i="37"/>
  <c r="K67" i="37" s="1"/>
  <c r="O67" i="37"/>
  <c r="N67" i="37"/>
  <c r="X67" i="37"/>
  <c r="W67" i="37"/>
  <c r="S67" i="37"/>
  <c r="L67" i="37"/>
  <c r="M67" i="37"/>
  <c r="Q67" i="37"/>
  <c r="R67" i="37"/>
  <c r="V67" i="37"/>
  <c r="N32" i="24" a="1"/>
  <c r="N32" i="24" s="1"/>
  <c r="K31" i="13" a="1"/>
  <c r="K31" i="13" s="1"/>
  <c r="K33" i="13" s="1" a="1"/>
  <c r="K33" i="13" s="1"/>
  <c r="K20" i="54"/>
  <c r="K36" i="13" a="1"/>
  <c r="K36" i="13" s="1"/>
  <c r="L37" i="37"/>
  <c r="N37" i="37"/>
  <c r="X37" i="37"/>
  <c r="V50" i="37"/>
  <c r="U48" i="37"/>
  <c r="U37" i="37"/>
  <c r="Q37" i="37"/>
  <c r="M37" i="37"/>
  <c r="R37" i="37"/>
  <c r="O37" i="37"/>
  <c r="W37" i="37"/>
  <c r="T37" i="37"/>
  <c r="P37" i="37"/>
  <c r="V37" i="37"/>
  <c r="S37" i="37"/>
  <c r="K23" i="37"/>
  <c r="K68" i="37" a="1"/>
  <c r="K70" i="37" a="1"/>
  <c r="K70" i="37" s="1"/>
  <c r="K69" i="37" a="1"/>
  <c r="K69" i="37" s="1"/>
  <c r="K66" i="17" a="1"/>
  <c r="K66" i="17" s="1"/>
  <c r="K145" i="49" s="1" a="1"/>
  <c r="K145" i="49" s="1"/>
  <c r="K146" i="49" s="1" a="1"/>
  <c r="K146" i="49" s="1"/>
  <c r="K148" i="49" s="1" a="1"/>
  <c r="K148" i="49" s="1"/>
  <c r="K149" i="49" s="1" a="1"/>
  <c r="K149" i="49" s="1"/>
  <c r="K17" i="49" s="1" a="1"/>
  <c r="N31" i="24" a="1"/>
  <c r="N31" i="24" s="1"/>
  <c r="K43" i="49" a="1"/>
  <c r="K43" i="49" s="1"/>
  <c r="Z286" i="23"/>
  <c r="Y287" i="23"/>
  <c r="Y201" i="23"/>
  <c r="X272" i="23"/>
  <c r="X46" i="23"/>
  <c r="X47" i="23" s="1"/>
  <c r="X49" i="23" s="1"/>
  <c r="X26" i="23"/>
  <c r="K30" i="22" a="1"/>
  <c r="K30" i="22" s="1"/>
  <c r="W276" i="23"/>
  <c r="W277" i="23"/>
  <c r="W280" i="23" s="1"/>
  <c r="V279" i="23"/>
  <c r="V275" i="23"/>
  <c r="V278" i="23" s="1"/>
  <c r="V145" i="18"/>
  <c r="W144" i="18"/>
  <c r="U228" i="14"/>
  <c r="V227" i="14"/>
  <c r="K8" i="58" l="1"/>
  <c r="K40" i="58" s="1"/>
  <c r="K42" i="58" s="1"/>
  <c r="Q40" i="58"/>
  <c r="Q42" i="58" s="1"/>
  <c r="L40" i="58"/>
  <c r="L42" i="58" s="1"/>
  <c r="R40" i="58"/>
  <c r="R42" i="58" s="1"/>
  <c r="U40" i="58"/>
  <c r="U42" i="58" s="1"/>
  <c r="V40" i="58"/>
  <c r="V42" i="58" s="1"/>
  <c r="M40" i="58"/>
  <c r="M42" i="58" s="1"/>
  <c r="P40" i="58"/>
  <c r="P42" i="58" s="1"/>
  <c r="W40" i="58"/>
  <c r="W42" i="58" s="1"/>
  <c r="T40" i="58"/>
  <c r="T42" i="58" s="1"/>
  <c r="S40" i="58"/>
  <c r="S42" i="58" s="1"/>
  <c r="N40" i="58"/>
  <c r="N42" i="58" s="1"/>
  <c r="O40" i="58"/>
  <c r="O42" i="58" s="1"/>
  <c r="X40" i="58"/>
  <c r="X42" i="58" s="1"/>
  <c r="K17" i="49"/>
  <c r="K46" i="37" a="1"/>
  <c r="K46" i="37" s="1"/>
  <c r="K44" i="37"/>
  <c r="K34" i="13" a="1"/>
  <c r="K34" i="13" s="1"/>
  <c r="K35" i="13" s="1" a="1"/>
  <c r="K35" i="13" s="1"/>
  <c r="K29" i="13" s="1" a="1"/>
  <c r="K29" i="13" s="1"/>
  <c r="K21" i="54"/>
  <c r="W50" i="37"/>
  <c r="V48" i="37"/>
  <c r="K43" i="37"/>
  <c r="K27" i="37"/>
  <c r="K108" i="37"/>
  <c r="K28" i="37"/>
  <c r="K68" i="37"/>
  <c r="K66" i="37" s="1"/>
  <c r="K32" i="37" s="1"/>
  <c r="O66" i="37"/>
  <c r="O32" i="37" s="1"/>
  <c r="R66" i="37"/>
  <c r="R32" i="37" s="1"/>
  <c r="P66" i="37"/>
  <c r="P32" i="37" s="1"/>
  <c r="Q66" i="37"/>
  <c r="Q32" i="37" s="1"/>
  <c r="N66" i="37"/>
  <c r="N32" i="37" s="1"/>
  <c r="V66" i="37"/>
  <c r="V32" i="37" s="1"/>
  <c r="U66" i="37"/>
  <c r="U32" i="37" s="1"/>
  <c r="L66" i="37"/>
  <c r="L32" i="37" s="1"/>
  <c r="M66" i="37"/>
  <c r="M32" i="37" s="1"/>
  <c r="S66" i="37"/>
  <c r="S32" i="37" s="1"/>
  <c r="W66" i="37"/>
  <c r="W32" i="37" s="1"/>
  <c r="T66" i="37"/>
  <c r="T32" i="37" s="1"/>
  <c r="X66" i="37"/>
  <c r="X32" i="37" s="1"/>
  <c r="K111" i="37" a="1"/>
  <c r="K111" i="37" s="1"/>
  <c r="K19" i="17" a="1"/>
  <c r="K19" i="17" s="1"/>
  <c r="K71" i="17" s="1" a="1"/>
  <c r="K71" i="17" s="1"/>
  <c r="W145" i="18"/>
  <c r="W146" i="18" s="1"/>
  <c r="X144" i="18"/>
  <c r="X276" i="23"/>
  <c r="X277" i="23"/>
  <c r="X280" i="23" s="1"/>
  <c r="Z287" i="23"/>
  <c r="AA286" i="23"/>
  <c r="W227" i="14"/>
  <c r="V228" i="14"/>
  <c r="Z201" i="23"/>
  <c r="Y272" i="23"/>
  <c r="Y26" i="23"/>
  <c r="Y46" i="23"/>
  <c r="Y47" i="23" s="1"/>
  <c r="Y49" i="23" s="1"/>
  <c r="V146" i="18"/>
  <c r="W279" i="23"/>
  <c r="W275" i="23"/>
  <c r="W278" i="23" s="1"/>
  <c r="K9" i="58" l="1" a="1"/>
  <c r="K9" i="58" s="1"/>
  <c r="N52" i="24" s="1" a="1"/>
  <c r="N52" i="24" s="1"/>
  <c r="K16" i="13" a="1"/>
  <c r="K16" i="13" s="1"/>
  <c r="K7" i="13" s="1" a="1"/>
  <c r="K7" i="13" s="1"/>
  <c r="K8" i="37" a="1"/>
  <c r="K8" i="37" s="1"/>
  <c r="N38" i="24" s="1" a="1"/>
  <c r="N38" i="24" s="1"/>
  <c r="K22" i="54"/>
  <c r="K112" i="37" a="1"/>
  <c r="U71" i="17" a="1"/>
  <c r="U71" i="17" s="1"/>
  <c r="P71" i="17" a="1"/>
  <c r="P71" i="17" s="1"/>
  <c r="X50" i="37"/>
  <c r="X48" i="37" s="1"/>
  <c r="W48" i="37"/>
  <c r="T71" i="17" a="1"/>
  <c r="T71" i="17" s="1"/>
  <c r="N71" i="17" a="1"/>
  <c r="N71" i="17" s="1"/>
  <c r="X71" i="17" a="1"/>
  <c r="X71" i="17" s="1"/>
  <c r="S71" i="17" a="1"/>
  <c r="S71" i="17" s="1"/>
  <c r="O71" i="17" a="1"/>
  <c r="O71" i="17" s="1"/>
  <c r="M71" i="17" a="1"/>
  <c r="M71" i="17" s="1"/>
  <c r="W71" i="17" a="1"/>
  <c r="W71" i="17" s="1"/>
  <c r="Q71" i="17" a="1"/>
  <c r="Q71" i="17" s="1"/>
  <c r="R71" i="17" a="1"/>
  <c r="R71" i="17" s="1"/>
  <c r="V71" i="17" a="1"/>
  <c r="V71" i="17" s="1"/>
  <c r="L71" i="17" a="1"/>
  <c r="L71" i="17" s="1"/>
  <c r="W228" i="14"/>
  <c r="X227" i="14"/>
  <c r="AA287" i="23"/>
  <c r="AB286" i="23"/>
  <c r="X279" i="23"/>
  <c r="X275" i="23"/>
  <c r="X278" i="23" s="1"/>
  <c r="Y276" i="23"/>
  <c r="Y277" i="23"/>
  <c r="Y280" i="23" s="1"/>
  <c r="Y144" i="18"/>
  <c r="X145" i="18"/>
  <c r="Z272" i="23"/>
  <c r="AA201" i="23"/>
  <c r="Z46" i="23"/>
  <c r="Z47" i="23" s="1"/>
  <c r="Z49" i="23" s="1"/>
  <c r="Z26" i="23"/>
  <c r="K112" i="37" l="1"/>
  <c r="L117" i="37"/>
  <c r="O117" i="37"/>
  <c r="T117" i="37"/>
  <c r="W117" i="37"/>
  <c r="S117" i="37"/>
  <c r="N117" i="37"/>
  <c r="M117" i="37"/>
  <c r="P117" i="37"/>
  <c r="U117" i="37"/>
  <c r="X117" i="37"/>
  <c r="Q117" i="37"/>
  <c r="R117" i="37"/>
  <c r="V117" i="37"/>
  <c r="K23" i="54"/>
  <c r="Y275" i="23"/>
  <c r="Y278" i="23" s="1"/>
  <c r="Y279" i="23"/>
  <c r="X146" i="18"/>
  <c r="Y227" i="14"/>
  <c r="X228" i="14"/>
  <c r="Z144" i="18"/>
  <c r="Z145" i="18" s="1"/>
  <c r="Z146" i="18" s="1"/>
  <c r="Y145" i="18"/>
  <c r="Y146" i="18" s="1"/>
  <c r="AA272" i="23"/>
  <c r="AA46" i="23"/>
  <c r="AA47" i="23" s="1"/>
  <c r="AA49" i="23" s="1"/>
  <c r="AA26" i="23"/>
  <c r="AB201" i="23"/>
  <c r="Z276" i="23"/>
  <c r="Z277" i="23"/>
  <c r="Z280" i="23" s="1"/>
  <c r="AB287" i="23"/>
  <c r="AC286" i="23"/>
  <c r="N27" i="24" a="1"/>
  <c r="N27" i="24" s="1"/>
  <c r="K117" i="37" l="1"/>
  <c r="K114" i="37" a="1"/>
  <c r="K114" i="37" s="1"/>
  <c r="K24" i="54"/>
  <c r="Z279" i="23"/>
  <c r="Z275" i="23"/>
  <c r="Z278" i="23" s="1"/>
  <c r="AC287" i="23"/>
  <c r="AD286" i="23"/>
  <c r="AD287" i="23" s="1"/>
  <c r="AA277" i="23"/>
  <c r="AA280" i="23" s="1"/>
  <c r="AA276" i="23"/>
  <c r="Y228" i="14"/>
  <c r="Z227" i="14"/>
  <c r="Z228" i="14" s="1"/>
  <c r="K56" i="17" a="1"/>
  <c r="AB272" i="23"/>
  <c r="AC201" i="23"/>
  <c r="AB46" i="23"/>
  <c r="AB47" i="23" s="1"/>
  <c r="AB49" i="23" s="1"/>
  <c r="AB26" i="23"/>
  <c r="K115" i="37" l="1" a="1"/>
  <c r="K115" i="37" s="1"/>
  <c r="K18" i="37" s="1" a="1"/>
  <c r="K14" i="22" a="1"/>
  <c r="T84" i="22" s="1" a="1"/>
  <c r="T84" i="22" s="1"/>
  <c r="K25" i="54"/>
  <c r="K15" i="49" a="1"/>
  <c r="AC272" i="23"/>
  <c r="AD201" i="23"/>
  <c r="AC46" i="23"/>
  <c r="AC47" i="23" s="1"/>
  <c r="AC49" i="23" s="1"/>
  <c r="AC26" i="23"/>
  <c r="K13" i="13" a="1"/>
  <c r="K16" i="37" a="1"/>
  <c r="AB277" i="23"/>
  <c r="AB280" i="23" s="1"/>
  <c r="AB276" i="23"/>
  <c r="K56" i="17"/>
  <c r="K16" i="17" s="1"/>
  <c r="K31" i="17" s="1"/>
  <c r="N16" i="17"/>
  <c r="V16" i="17"/>
  <c r="M16" i="17"/>
  <c r="T16" i="17"/>
  <c r="O16" i="17"/>
  <c r="U16" i="17"/>
  <c r="W16" i="17"/>
  <c r="X16" i="17"/>
  <c r="P16" i="17"/>
  <c r="R16" i="17"/>
  <c r="Q16" i="17"/>
  <c r="L16" i="17"/>
  <c r="S16" i="17"/>
  <c r="AA279" i="23"/>
  <c r="AA275" i="23"/>
  <c r="AA278" i="23" s="1"/>
  <c r="M124" i="37" l="1" a="1"/>
  <c r="M124" i="37" s="1"/>
  <c r="M154" i="49" a="1"/>
  <c r="M154" i="49" s="1"/>
  <c r="T154" i="49" a="1"/>
  <c r="T154" i="49" s="1"/>
  <c r="O154" i="49" a="1"/>
  <c r="O154" i="49" s="1"/>
  <c r="V154" i="49" a="1"/>
  <c r="V154" i="49" s="1"/>
  <c r="N154" i="49" a="1"/>
  <c r="N154" i="49" s="1"/>
  <c r="R154" i="49" a="1"/>
  <c r="R154" i="49" s="1"/>
  <c r="P154" i="49" a="1"/>
  <c r="P154" i="49" s="1"/>
  <c r="L154" i="49" a="1"/>
  <c r="L154" i="49" s="1"/>
  <c r="U154" i="49" a="1"/>
  <c r="U154" i="49" s="1"/>
  <c r="X154" i="49" a="1"/>
  <c r="X154" i="49" s="1"/>
  <c r="Q154" i="49" a="1"/>
  <c r="Q154" i="49" s="1"/>
  <c r="S154" i="49" a="1"/>
  <c r="S154" i="49" s="1"/>
  <c r="W154" i="49" a="1"/>
  <c r="W154" i="49" s="1"/>
  <c r="U124" i="37" a="1"/>
  <c r="U124" i="37" s="1"/>
  <c r="O124" i="37" a="1"/>
  <c r="O124" i="37" s="1"/>
  <c r="V124" i="37" a="1"/>
  <c r="V124" i="37" s="1"/>
  <c r="K18" i="37"/>
  <c r="N124" i="37" a="1"/>
  <c r="N124" i="37" s="1"/>
  <c r="S124" i="37" a="1"/>
  <c r="S124" i="37" s="1"/>
  <c r="L124" i="37" a="1"/>
  <c r="L124" i="37" s="1"/>
  <c r="P124" i="37" a="1"/>
  <c r="P124" i="37" s="1"/>
  <c r="T124" i="37" a="1"/>
  <c r="T124" i="37" s="1"/>
  <c r="X124" i="37" a="1"/>
  <c r="X124" i="37" s="1"/>
  <c r="W124" i="37" a="1"/>
  <c r="W124" i="37" s="1"/>
  <c r="Q124" i="37" a="1"/>
  <c r="Q124" i="37" s="1"/>
  <c r="R124" i="37" a="1"/>
  <c r="R124" i="37" s="1"/>
  <c r="R84" i="22" a="1"/>
  <c r="R84" i="22" s="1"/>
  <c r="V84" i="22" a="1"/>
  <c r="V84" i="22" s="1"/>
  <c r="P84" i="22" a="1"/>
  <c r="P84" i="22" s="1"/>
  <c r="N84" i="22" a="1"/>
  <c r="N84" i="22" s="1"/>
  <c r="L84" i="22" a="1"/>
  <c r="L84" i="22" s="1"/>
  <c r="U84" i="22" a="1"/>
  <c r="U84" i="22" s="1"/>
  <c r="W84" i="22" a="1"/>
  <c r="W84" i="22" s="1"/>
  <c r="M84" i="22" a="1"/>
  <c r="M84" i="22" s="1"/>
  <c r="K14" i="22"/>
  <c r="K84" i="22" s="1" a="1"/>
  <c r="K84" i="22" s="1"/>
  <c r="Q84" i="22" a="1"/>
  <c r="Q84" i="22" s="1"/>
  <c r="S84" i="22" a="1"/>
  <c r="S84" i="22" s="1"/>
  <c r="X84" i="22" a="1"/>
  <c r="X84" i="22" s="1"/>
  <c r="O84" i="22" a="1"/>
  <c r="O84" i="22" s="1"/>
  <c r="K26" i="54"/>
  <c r="N67" i="13" a="1"/>
  <c r="N67" i="13" s="1"/>
  <c r="P67" i="13" a="1"/>
  <c r="P67" i="13" s="1"/>
  <c r="L67" i="13" a="1"/>
  <c r="L67" i="13" s="1"/>
  <c r="V67" i="13" a="1"/>
  <c r="V67" i="13" s="1"/>
  <c r="X67" i="13" a="1"/>
  <c r="X67" i="13" s="1"/>
  <c r="R67" i="13" a="1"/>
  <c r="R67" i="13" s="1"/>
  <c r="T67" i="13" a="1"/>
  <c r="T67" i="13" s="1"/>
  <c r="O67" i="13" a="1"/>
  <c r="O67" i="13" s="1"/>
  <c r="Q67" i="13" a="1"/>
  <c r="Q67" i="13" s="1"/>
  <c r="M67" i="13" a="1"/>
  <c r="M67" i="13" s="1"/>
  <c r="W67" i="13" a="1"/>
  <c r="W67" i="13" s="1"/>
  <c r="U67" i="13" a="1"/>
  <c r="U67" i="13" s="1"/>
  <c r="S67" i="13" a="1"/>
  <c r="S67" i="13" s="1"/>
  <c r="R66" i="13"/>
  <c r="P66" i="13"/>
  <c r="W66" i="13"/>
  <c r="L66" i="13"/>
  <c r="S66" i="13"/>
  <c r="T66" i="13"/>
  <c r="U66" i="13"/>
  <c r="M66" i="13"/>
  <c r="O66" i="13"/>
  <c r="X66" i="13"/>
  <c r="Q66" i="13"/>
  <c r="V66" i="13"/>
  <c r="N66" i="13"/>
  <c r="T33" i="17"/>
  <c r="T54" i="17"/>
  <c r="T34" i="17" s="1"/>
  <c r="T31" i="17"/>
  <c r="T27" i="17" s="1"/>
  <c r="Q33" i="17"/>
  <c r="Q54" i="17"/>
  <c r="Q34" i="17" s="1"/>
  <c r="Q31" i="17"/>
  <c r="Q27" i="17" s="1"/>
  <c r="M54" i="17"/>
  <c r="M34" i="17" s="1"/>
  <c r="M33" i="17"/>
  <c r="M31" i="17"/>
  <c r="M27" i="17" s="1"/>
  <c r="AD272" i="23"/>
  <c r="AE201" i="23"/>
  <c r="AD26" i="23"/>
  <c r="AD46" i="23"/>
  <c r="AD47" i="23" s="1"/>
  <c r="AD49" i="23" s="1"/>
  <c r="O33" i="17"/>
  <c r="O54" i="17"/>
  <c r="O34" i="17" s="1"/>
  <c r="O31" i="17"/>
  <c r="O27" i="17" s="1"/>
  <c r="V33" i="17"/>
  <c r="V54" i="17"/>
  <c r="V34" i="17" s="1"/>
  <c r="V31" i="17"/>
  <c r="V27" i="17" s="1"/>
  <c r="AC276" i="23"/>
  <c r="AC277" i="23"/>
  <c r="AC280" i="23" s="1"/>
  <c r="P54" i="17"/>
  <c r="P34" i="17" s="1"/>
  <c r="P33" i="17"/>
  <c r="P31" i="17"/>
  <c r="P27" i="17" s="1"/>
  <c r="N33" i="17"/>
  <c r="N54" i="17"/>
  <c r="N34" i="17" s="1"/>
  <c r="N31" i="17"/>
  <c r="N27" i="17" s="1"/>
  <c r="AB279" i="23"/>
  <c r="AB275" i="23"/>
  <c r="AB278" i="23" s="1"/>
  <c r="S33" i="17"/>
  <c r="S54" i="17"/>
  <c r="S34" i="17" s="1"/>
  <c r="S31" i="17"/>
  <c r="S27" i="17" s="1"/>
  <c r="X54" i="17"/>
  <c r="X34" i="17" s="1"/>
  <c r="X33" i="17"/>
  <c r="X31" i="17"/>
  <c r="X27" i="17" s="1"/>
  <c r="S64" i="49"/>
  <c r="S63" i="49" s="1"/>
  <c r="R64" i="49"/>
  <c r="R63" i="49" s="1"/>
  <c r="Q64" i="49"/>
  <c r="Q63" i="49" s="1"/>
  <c r="W64" i="49"/>
  <c r="W63" i="49" s="1"/>
  <c r="O64" i="49"/>
  <c r="O63" i="49" s="1"/>
  <c r="V64" i="49"/>
  <c r="V63" i="49" s="1"/>
  <c r="U64" i="49"/>
  <c r="U63" i="49" s="1"/>
  <c r="T64" i="49"/>
  <c r="T63" i="49" s="1"/>
  <c r="P64" i="49"/>
  <c r="P63" i="49" s="1"/>
  <c r="M64" i="49"/>
  <c r="M63" i="49" s="1"/>
  <c r="L64" i="49"/>
  <c r="L63" i="49" s="1"/>
  <c r="K15" i="49"/>
  <c r="K154" i="49" s="1" a="1"/>
  <c r="K154" i="49" s="1"/>
  <c r="N64" i="49"/>
  <c r="N63" i="49" s="1"/>
  <c r="K100" i="37" a="1"/>
  <c r="W33" i="17"/>
  <c r="W54" i="17"/>
  <c r="W34" i="17" s="1"/>
  <c r="W31" i="17"/>
  <c r="W27" i="17" s="1"/>
  <c r="S49" i="37"/>
  <c r="S48" i="37" s="1"/>
  <c r="Q49" i="37"/>
  <c r="Q48" i="37" s="1"/>
  <c r="O49" i="37"/>
  <c r="O48" i="37" s="1"/>
  <c r="R49" i="37"/>
  <c r="R48" i="37" s="1"/>
  <c r="P49" i="37"/>
  <c r="P48" i="37" s="1"/>
  <c r="N49" i="37"/>
  <c r="N48" i="37" s="1"/>
  <c r="M49" i="37"/>
  <c r="M48" i="37" s="1"/>
  <c r="L49" i="37"/>
  <c r="L48" i="37" s="1"/>
  <c r="T49" i="37"/>
  <c r="T48" i="37" s="1"/>
  <c r="K16" i="37"/>
  <c r="L33" i="17"/>
  <c r="L54" i="17"/>
  <c r="L34" i="17" s="1"/>
  <c r="L31" i="17"/>
  <c r="L27" i="17" s="1"/>
  <c r="R33" i="17"/>
  <c r="R54" i="17"/>
  <c r="R34" i="17" s="1"/>
  <c r="R31" i="17"/>
  <c r="R27" i="17" s="1"/>
  <c r="U54" i="17"/>
  <c r="U34" i="17" s="1"/>
  <c r="U33" i="17"/>
  <c r="U31" i="17"/>
  <c r="U27" i="17" s="1"/>
  <c r="K13" i="13"/>
  <c r="K66" i="13" s="1"/>
  <c r="K124" i="37" l="1" a="1"/>
  <c r="K124" i="37" s="1"/>
  <c r="K67" i="13" a="1"/>
  <c r="K67" i="13" s="1"/>
  <c r="K27" i="54"/>
  <c r="T68" i="13"/>
  <c r="M68" i="13"/>
  <c r="Q68" i="13"/>
  <c r="U68" i="13"/>
  <c r="N68" i="13"/>
  <c r="V68" i="13"/>
  <c r="L68" i="13"/>
  <c r="W68" i="13"/>
  <c r="S68" i="13"/>
  <c r="R68" i="13"/>
  <c r="K49" i="37"/>
  <c r="K48" i="37" s="1"/>
  <c r="X68" i="13"/>
  <c r="O68" i="13"/>
  <c r="P68" i="13"/>
  <c r="K64" i="49"/>
  <c r="K63" i="49" s="1"/>
  <c r="R32" i="17"/>
  <c r="R36" i="17"/>
  <c r="W32" i="17"/>
  <c r="W36" i="17"/>
  <c r="N32" i="17"/>
  <c r="N36" i="17"/>
  <c r="V32" i="17"/>
  <c r="V36" i="17"/>
  <c r="P37" i="17" a="1"/>
  <c r="P37" i="17" s="1"/>
  <c r="O37" i="17" a="1"/>
  <c r="O37" i="17" s="1"/>
  <c r="Q32" i="17"/>
  <c r="Q36" i="17"/>
  <c r="L37" i="17" a="1"/>
  <c r="L37" i="17" s="1"/>
  <c r="K33" i="17"/>
  <c r="K54" i="17"/>
  <c r="K34" i="17" s="1"/>
  <c r="K27" i="17"/>
  <c r="X37" i="17" a="1"/>
  <c r="X37" i="17" s="1"/>
  <c r="U32" i="17"/>
  <c r="U36" i="17"/>
  <c r="K100" i="37"/>
  <c r="U24" i="37"/>
  <c r="U45" i="37" s="1"/>
  <c r="R24" i="37"/>
  <c r="R45" i="37" s="1"/>
  <c r="S24" i="37"/>
  <c r="S45" i="37" s="1"/>
  <c r="V24" i="37"/>
  <c r="V45" i="37" s="1"/>
  <c r="W24" i="37"/>
  <c r="W45" i="37" s="1"/>
  <c r="T24" i="37"/>
  <c r="T45" i="37" s="1"/>
  <c r="O24" i="37"/>
  <c r="O45" i="37" s="1"/>
  <c r="X24" i="37"/>
  <c r="X45" i="37" s="1"/>
  <c r="L24" i="37"/>
  <c r="L45" i="37" s="1"/>
  <c r="M24" i="37"/>
  <c r="M45" i="37" s="1"/>
  <c r="Q24" i="37"/>
  <c r="Q45" i="37" s="1"/>
  <c r="N24" i="37"/>
  <c r="N45" i="37" s="1"/>
  <c r="P24" i="37"/>
  <c r="P45" i="37" s="1"/>
  <c r="X32" i="17"/>
  <c r="X36" i="17"/>
  <c r="P32" i="17"/>
  <c r="P36" i="17"/>
  <c r="T37" i="17" a="1"/>
  <c r="T37" i="17" s="1"/>
  <c r="L32" i="17"/>
  <c r="L36" i="17"/>
  <c r="O32" i="17"/>
  <c r="O36" i="17"/>
  <c r="R37" i="17" a="1"/>
  <c r="R37" i="17" s="1"/>
  <c r="W37" i="17" a="1"/>
  <c r="W37" i="17" s="1"/>
  <c r="S32" i="17"/>
  <c r="S36" i="17"/>
  <c r="N37" i="17" a="1"/>
  <c r="N37" i="17" s="1"/>
  <c r="V37" i="17" a="1"/>
  <c r="V37" i="17" s="1"/>
  <c r="AE46" i="23"/>
  <c r="AE47" i="23" s="1"/>
  <c r="AE49" i="23" s="1"/>
  <c r="AE272" i="23"/>
  <c r="AE26" i="23"/>
  <c r="K101" i="49" s="1" a="1"/>
  <c r="K101" i="49" s="1"/>
  <c r="K38" i="49" s="1" a="1"/>
  <c r="K38" i="49" s="1"/>
  <c r="K100" i="49" a="1"/>
  <c r="K100" i="49" s="1"/>
  <c r="K56" i="22" a="1"/>
  <c r="K56" i="22" s="1"/>
  <c r="S37" i="17" a="1"/>
  <c r="S37" i="17" s="1"/>
  <c r="M37" i="17" a="1"/>
  <c r="M37" i="17" s="1"/>
  <c r="T32" i="17"/>
  <c r="T36" i="17"/>
  <c r="AD276" i="23"/>
  <c r="AD277" i="23"/>
  <c r="AD280" i="23" s="1"/>
  <c r="Q37" i="17" a="1"/>
  <c r="Q37" i="17" s="1"/>
  <c r="U37" i="17" a="1"/>
  <c r="U37" i="17" s="1"/>
  <c r="AC279" i="23"/>
  <c r="AC275" i="23"/>
  <c r="AC278" i="23" s="1"/>
  <c r="M32" i="17"/>
  <c r="M36" i="17"/>
  <c r="K68" i="13" l="1"/>
  <c r="K9" i="13" s="1" a="1"/>
  <c r="K9" i="13" s="1"/>
  <c r="N45" i="24" s="1" a="1"/>
  <c r="N45" i="24" s="1"/>
  <c r="K28" i="54"/>
  <c r="O39" i="17"/>
  <c r="X39" i="17"/>
  <c r="L39" i="17"/>
  <c r="M40" i="17"/>
  <c r="U39" i="17"/>
  <c r="P61" i="37" a="1"/>
  <c r="P61" i="37" s="1"/>
  <c r="P42" i="37"/>
  <c r="P36" i="37" s="1"/>
  <c r="P64" i="37"/>
  <c r="P63" i="37"/>
  <c r="W64" i="37"/>
  <c r="W42" i="37"/>
  <c r="W36" i="37" s="1"/>
  <c r="W61" i="37" a="1"/>
  <c r="W61" i="37" s="1"/>
  <c r="W63" i="37"/>
  <c r="W40" i="17"/>
  <c r="T40" i="17"/>
  <c r="T63" i="37"/>
  <c r="T42" i="37"/>
  <c r="T36" i="37" s="1"/>
  <c r="T61" i="37" a="1"/>
  <c r="T61" i="37" s="1"/>
  <c r="T64" i="37"/>
  <c r="M39" i="17"/>
  <c r="T39" i="17"/>
  <c r="L40" i="17"/>
  <c r="N64" i="37"/>
  <c r="N42" i="37"/>
  <c r="N36" i="37" s="1"/>
  <c r="N63" i="37"/>
  <c r="N61" i="37" a="1"/>
  <c r="N61" i="37" s="1"/>
  <c r="V42" i="37"/>
  <c r="V36" i="37" s="1"/>
  <c r="V61" i="37" a="1"/>
  <c r="V61" i="37" s="1"/>
  <c r="V63" i="37"/>
  <c r="V64" i="37"/>
  <c r="W39" i="17"/>
  <c r="P40" i="17"/>
  <c r="M64" i="37"/>
  <c r="M63" i="37"/>
  <c r="M61" i="37" a="1"/>
  <c r="M61" i="37" s="1"/>
  <c r="M42" i="37"/>
  <c r="M36" i="37" s="1"/>
  <c r="R42" i="37"/>
  <c r="R36" i="37" s="1"/>
  <c r="R61" i="37" a="1"/>
  <c r="R61" i="37" s="1"/>
  <c r="R64" i="37"/>
  <c r="R63" i="37"/>
  <c r="Q39" i="17"/>
  <c r="V39" i="17"/>
  <c r="R39" i="17"/>
  <c r="Q63" i="37"/>
  <c r="Q42" i="37"/>
  <c r="Q36" i="37" s="1"/>
  <c r="Q64" i="37"/>
  <c r="Q61" i="37" a="1"/>
  <c r="Q61" i="37" s="1"/>
  <c r="V40" i="17"/>
  <c r="AE276" i="23"/>
  <c r="AE277" i="23"/>
  <c r="AE280" i="23" s="1"/>
  <c r="S40" i="17"/>
  <c r="P39" i="17"/>
  <c r="L42" i="37"/>
  <c r="L36" i="37" s="1"/>
  <c r="L63" i="37"/>
  <c r="L61" i="37" a="1"/>
  <c r="L61" i="37" s="1"/>
  <c r="L64" i="37"/>
  <c r="U42" i="37"/>
  <c r="U36" i="37" s="1"/>
  <c r="U63" i="37"/>
  <c r="U64" i="37"/>
  <c r="U61" i="37" a="1"/>
  <c r="U61" i="37" s="1"/>
  <c r="K37" i="17" a="1"/>
  <c r="K37" i="17" s="1"/>
  <c r="N40" i="17"/>
  <c r="S39" i="17"/>
  <c r="X40" i="17"/>
  <c r="X61" i="37" a="1"/>
  <c r="X61" i="37" s="1"/>
  <c r="X64" i="37"/>
  <c r="X42" i="37"/>
  <c r="X36" i="37" s="1"/>
  <c r="X63" i="37"/>
  <c r="K134" i="49" a="1"/>
  <c r="K24" i="37"/>
  <c r="N39" i="17"/>
  <c r="S42" i="37"/>
  <c r="S36" i="37" s="1"/>
  <c r="S63" i="37"/>
  <c r="S64" i="37"/>
  <c r="S61" i="37" a="1"/>
  <c r="S61" i="37" s="1"/>
  <c r="Q40" i="17"/>
  <c r="R40" i="17"/>
  <c r="AD279" i="23"/>
  <c r="AD275" i="23"/>
  <c r="AD278" i="23" s="1"/>
  <c r="O40" i="17"/>
  <c r="O61" i="37" a="1"/>
  <c r="O61" i="37" s="1"/>
  <c r="O64" i="37"/>
  <c r="O63" i="37"/>
  <c r="O42" i="37"/>
  <c r="O36" i="37" s="1"/>
  <c r="U40" i="17"/>
  <c r="K32" i="17"/>
  <c r="K36" i="17"/>
  <c r="K57" i="22" a="1"/>
  <c r="K57" i="22" s="1"/>
  <c r="K25" i="22" s="1" a="1"/>
  <c r="K25" i="22" s="1"/>
  <c r="K29" i="54" l="1"/>
  <c r="O41" i="17"/>
  <c r="O35" i="17" s="1"/>
  <c r="O22" i="17" s="1"/>
  <c r="U41" i="17"/>
  <c r="U35" i="17" s="1"/>
  <c r="U22" i="17" s="1"/>
  <c r="P41" i="17"/>
  <c r="P35" i="17" s="1"/>
  <c r="P22" i="17" s="1"/>
  <c r="Q41" i="17"/>
  <c r="Q35" i="17" s="1"/>
  <c r="Q22" i="17" s="1"/>
  <c r="S65" i="37"/>
  <c r="V41" i="17"/>
  <c r="V35" i="17" s="1"/>
  <c r="V22" i="17" s="1"/>
  <c r="X41" i="17"/>
  <c r="X35" i="17" s="1"/>
  <c r="X22" i="17" s="1"/>
  <c r="S41" i="17"/>
  <c r="S35" i="17" s="1"/>
  <c r="S22" i="17" s="1"/>
  <c r="L41" i="17"/>
  <c r="L35" i="17" s="1"/>
  <c r="L22" i="17" s="1"/>
  <c r="V65" i="37"/>
  <c r="O65" i="37"/>
  <c r="X65" i="37"/>
  <c r="L65" i="37"/>
  <c r="P65" i="37"/>
  <c r="W65" i="37"/>
  <c r="R41" i="17"/>
  <c r="R35" i="17" s="1"/>
  <c r="R22" i="17" s="1"/>
  <c r="U65" i="37"/>
  <c r="M65" i="37"/>
  <c r="M41" i="17"/>
  <c r="M35" i="17" s="1"/>
  <c r="M22" i="17" s="1"/>
  <c r="R65" i="37"/>
  <c r="T65" i="37"/>
  <c r="T41" i="17"/>
  <c r="T35" i="17" s="1"/>
  <c r="T22" i="17" s="1"/>
  <c r="Q65" i="37"/>
  <c r="N65" i="37"/>
  <c r="K98" i="37" a="1"/>
  <c r="K98" i="37" s="1"/>
  <c r="K58" i="37" s="1" a="1"/>
  <c r="K58" i="37" s="1"/>
  <c r="K45" i="37"/>
  <c r="K57" i="37" a="1"/>
  <c r="W41" i="17"/>
  <c r="W35" i="17" s="1"/>
  <c r="W22" i="17" s="1"/>
  <c r="K134" i="49"/>
  <c r="K23" i="49" s="1"/>
  <c r="Q23" i="49"/>
  <c r="Q60" i="49" s="1"/>
  <c r="N23" i="49"/>
  <c r="N60" i="49" s="1"/>
  <c r="S23" i="49"/>
  <c r="S60" i="49" s="1"/>
  <c r="W23" i="49"/>
  <c r="W60" i="49" s="1"/>
  <c r="V23" i="49"/>
  <c r="V60" i="49" s="1"/>
  <c r="P23" i="49"/>
  <c r="P60" i="49" s="1"/>
  <c r="O23" i="49"/>
  <c r="O60" i="49" s="1"/>
  <c r="T23" i="49"/>
  <c r="T60" i="49" s="1"/>
  <c r="R23" i="49"/>
  <c r="R60" i="49" s="1"/>
  <c r="L23" i="49"/>
  <c r="L60" i="49" s="1"/>
  <c r="X23" i="49"/>
  <c r="X60" i="49" s="1"/>
  <c r="M23" i="49"/>
  <c r="M60" i="49" s="1"/>
  <c r="U23" i="49"/>
  <c r="U60" i="49" s="1"/>
  <c r="AE279" i="23"/>
  <c r="K104" i="49" s="1" a="1"/>
  <c r="K104" i="49" s="1"/>
  <c r="K42" i="49" s="1" a="1"/>
  <c r="K42" i="49" s="1"/>
  <c r="K36" i="49" s="1" a="1"/>
  <c r="K36" i="49" s="1"/>
  <c r="AE275" i="23"/>
  <c r="AE278" i="23" s="1"/>
  <c r="N41" i="17"/>
  <c r="N35" i="17" s="1"/>
  <c r="N22" i="17" s="1"/>
  <c r="K40" i="17"/>
  <c r="K39" i="17"/>
  <c r="K30" i="54" l="1"/>
  <c r="K41" i="17"/>
  <c r="K35" i="17" s="1"/>
  <c r="K22" i="17" s="1"/>
  <c r="K7" i="17" s="1" a="1"/>
  <c r="K7" i="17" s="1"/>
  <c r="K60" i="37"/>
  <c r="P60" i="37"/>
  <c r="P59" i="37" s="1"/>
  <c r="M60" i="37"/>
  <c r="M59" i="37" s="1"/>
  <c r="W60" i="37"/>
  <c r="W59" i="37" s="1"/>
  <c r="S60" i="37"/>
  <c r="S59" i="37" s="1"/>
  <c r="N60" i="37"/>
  <c r="N59" i="37" s="1"/>
  <c r="V60" i="37"/>
  <c r="V59" i="37" s="1"/>
  <c r="T60" i="37"/>
  <c r="T59" i="37" s="1"/>
  <c r="U60" i="37"/>
  <c r="U59" i="37" s="1"/>
  <c r="L60" i="37"/>
  <c r="L59" i="37" s="1"/>
  <c r="Q60" i="37"/>
  <c r="Q59" i="37" s="1"/>
  <c r="R60" i="37"/>
  <c r="R59" i="37" s="1"/>
  <c r="O60" i="37"/>
  <c r="O59" i="37" s="1"/>
  <c r="X60" i="37"/>
  <c r="X59" i="37" s="1"/>
  <c r="K52" i="49" a="1"/>
  <c r="K52" i="49" s="1"/>
  <c r="P76" i="49"/>
  <c r="P77" i="49"/>
  <c r="P74" i="49" a="1"/>
  <c r="P74" i="49" s="1"/>
  <c r="U74" i="49" a="1"/>
  <c r="U74" i="49" s="1"/>
  <c r="U76" i="49"/>
  <c r="U77" i="49"/>
  <c r="V77" i="49"/>
  <c r="V76" i="49"/>
  <c r="V74" i="49" a="1"/>
  <c r="V74" i="49" s="1"/>
  <c r="O74" i="49" a="1"/>
  <c r="O74" i="49" s="1"/>
  <c r="O77" i="49"/>
  <c r="O76" i="49"/>
  <c r="T77" i="49"/>
  <c r="T74" i="49" a="1"/>
  <c r="T74" i="49" s="1"/>
  <c r="T76" i="49"/>
  <c r="M74" i="49" a="1"/>
  <c r="M74" i="49" s="1"/>
  <c r="M77" i="49"/>
  <c r="M76" i="49"/>
  <c r="W77" i="49"/>
  <c r="W76" i="49"/>
  <c r="W74" i="49" a="1"/>
  <c r="W74" i="49" s="1"/>
  <c r="X77" i="49"/>
  <c r="X76" i="49"/>
  <c r="X74" i="49" a="1"/>
  <c r="X74" i="49" s="1"/>
  <c r="S76" i="49"/>
  <c r="S77" i="49"/>
  <c r="S74" i="49" a="1"/>
  <c r="S74" i="49" s="1"/>
  <c r="K57" i="37"/>
  <c r="K52" i="37" s="1"/>
  <c r="L52" i="37"/>
  <c r="S52" i="37"/>
  <c r="N52" i="37"/>
  <c r="W52" i="37"/>
  <c r="T52" i="37"/>
  <c r="Q52" i="37"/>
  <c r="O52" i="37"/>
  <c r="U52" i="37"/>
  <c r="R52" i="37"/>
  <c r="P52" i="37"/>
  <c r="M52" i="37"/>
  <c r="V52" i="37"/>
  <c r="X52" i="37"/>
  <c r="K60" i="22" a="1"/>
  <c r="K60" i="22" s="1"/>
  <c r="K29" i="22" s="1" a="1"/>
  <c r="K29" i="22" s="1"/>
  <c r="K23" i="22" s="1" a="1"/>
  <c r="K23" i="22" s="1"/>
  <c r="K132" i="49" a="1"/>
  <c r="K132" i="49" s="1"/>
  <c r="K69" i="49" s="1" a="1"/>
  <c r="K60" i="49"/>
  <c r="K68" i="49" a="1"/>
  <c r="L77" i="49"/>
  <c r="L76" i="49"/>
  <c r="L74" i="49" a="1"/>
  <c r="L74" i="49" s="1"/>
  <c r="N74" i="49" a="1"/>
  <c r="N74" i="49" s="1"/>
  <c r="N77" i="49"/>
  <c r="N76" i="49"/>
  <c r="R77" i="49"/>
  <c r="R76" i="49"/>
  <c r="R74" i="49" a="1"/>
  <c r="R74" i="49" s="1"/>
  <c r="Q76" i="49"/>
  <c r="Q77" i="49"/>
  <c r="Q74" i="49" a="1"/>
  <c r="Q74" i="49" s="1"/>
  <c r="K61" i="37" a="1"/>
  <c r="K61" i="37" s="1"/>
  <c r="K42" i="37"/>
  <c r="K36" i="37" s="1"/>
  <c r="K63" i="37"/>
  <c r="K64" i="37"/>
  <c r="P31" i="37" l="1"/>
  <c r="K31" i="54"/>
  <c r="U31" i="37"/>
  <c r="N78" i="49"/>
  <c r="K8" i="17" a="1"/>
  <c r="L70" i="17" s="1"/>
  <c r="L72" i="17" s="1"/>
  <c r="N31" i="37"/>
  <c r="X31" i="37"/>
  <c r="V31" i="37"/>
  <c r="L78" i="49"/>
  <c r="T31" i="37"/>
  <c r="U78" i="49"/>
  <c r="L31" i="37"/>
  <c r="X78" i="49"/>
  <c r="K65" i="37"/>
  <c r="K59" i="37" s="1"/>
  <c r="K31" i="37" s="1"/>
  <c r="W78" i="49"/>
  <c r="O78" i="49"/>
  <c r="Q31" i="37"/>
  <c r="S78" i="49"/>
  <c r="Q78" i="49"/>
  <c r="M31" i="37"/>
  <c r="M78" i="49"/>
  <c r="T78" i="49"/>
  <c r="V78" i="49"/>
  <c r="R78" i="49"/>
  <c r="P78" i="49"/>
  <c r="K68" i="49"/>
  <c r="R67" i="49"/>
  <c r="R56" i="49" s="1"/>
  <c r="Q67" i="49"/>
  <c r="Q56" i="49" s="1"/>
  <c r="X67" i="49"/>
  <c r="X56" i="49" s="1"/>
  <c r="P67" i="49"/>
  <c r="P56" i="49" s="1"/>
  <c r="V67" i="49"/>
  <c r="V56" i="49" s="1"/>
  <c r="N67" i="49"/>
  <c r="N56" i="49" s="1"/>
  <c r="T67" i="49"/>
  <c r="T56" i="49" s="1"/>
  <c r="S67" i="49"/>
  <c r="S56" i="49" s="1"/>
  <c r="O67" i="49"/>
  <c r="O56" i="49" s="1"/>
  <c r="M67" i="49"/>
  <c r="M56" i="49" s="1"/>
  <c r="W67" i="49"/>
  <c r="W56" i="49" s="1"/>
  <c r="U67" i="49"/>
  <c r="U56" i="49" s="1"/>
  <c r="L67" i="49"/>
  <c r="L56" i="49" s="1"/>
  <c r="R31" i="37"/>
  <c r="K77" i="49"/>
  <c r="K74" i="49" a="1"/>
  <c r="K74" i="49" s="1"/>
  <c r="K76" i="49"/>
  <c r="O31" i="37"/>
  <c r="W31" i="37"/>
  <c r="K69" i="49"/>
  <c r="K73" i="49" s="1"/>
  <c r="Q73" i="49"/>
  <c r="O73" i="49"/>
  <c r="X73" i="49"/>
  <c r="L73" i="49"/>
  <c r="R73" i="49"/>
  <c r="N73" i="49"/>
  <c r="W73" i="49"/>
  <c r="P73" i="49"/>
  <c r="V73" i="49"/>
  <c r="M73" i="49"/>
  <c r="T73" i="49"/>
  <c r="S73" i="49"/>
  <c r="U73" i="49"/>
  <c r="S31" i="37"/>
  <c r="K53" i="49" a="1"/>
  <c r="K53" i="49" s="1"/>
  <c r="K54" i="49" s="1" a="1"/>
  <c r="K54" i="49" s="1"/>
  <c r="N72" i="49" l="1"/>
  <c r="K38" i="22" a="1"/>
  <c r="K38" i="22" s="1"/>
  <c r="K39" i="22" s="1" a="1"/>
  <c r="K39" i="22" s="1"/>
  <c r="K40" i="22" s="1" a="1"/>
  <c r="K40" i="22" s="1"/>
  <c r="K7" i="37" a="1"/>
  <c r="K32" i="54"/>
  <c r="L72" i="49"/>
  <c r="S70" i="17"/>
  <c r="S72" i="17" s="1"/>
  <c r="V70" i="17"/>
  <c r="V72" i="17" s="1"/>
  <c r="N70" i="17"/>
  <c r="N72" i="17" s="1"/>
  <c r="Q70" i="17"/>
  <c r="Q72" i="17" s="1"/>
  <c r="U72" i="49"/>
  <c r="M70" i="17"/>
  <c r="M72" i="17" s="1"/>
  <c r="P70" i="17"/>
  <c r="P72" i="17" s="1"/>
  <c r="W70" i="17"/>
  <c r="W72" i="17" s="1"/>
  <c r="R70" i="17"/>
  <c r="R72" i="17" s="1"/>
  <c r="X70" i="17"/>
  <c r="X72" i="17" s="1"/>
  <c r="U70" i="17"/>
  <c r="U72" i="17" s="1"/>
  <c r="K8" i="17"/>
  <c r="T70" i="17"/>
  <c r="T72" i="17" s="1"/>
  <c r="O70" i="17"/>
  <c r="O72" i="17" s="1"/>
  <c r="X72" i="49"/>
  <c r="W72" i="49"/>
  <c r="R72" i="49"/>
  <c r="K78" i="49"/>
  <c r="K72" i="49" s="1"/>
  <c r="T72" i="49"/>
  <c r="M72" i="49"/>
  <c r="V72" i="49"/>
  <c r="P72" i="49"/>
  <c r="O72" i="49"/>
  <c r="Q72" i="49"/>
  <c r="S72" i="49"/>
  <c r="K51" i="49" a="1"/>
  <c r="K51" i="49" s="1"/>
  <c r="K67" i="49"/>
  <c r="K56" i="49" s="1"/>
  <c r="K7" i="37" l="1"/>
  <c r="K123" i="37" s="1"/>
  <c r="L123" i="37"/>
  <c r="L125" i="37" s="1"/>
  <c r="T123" i="37"/>
  <c r="T125" i="37" s="1"/>
  <c r="M123" i="37"/>
  <c r="M125" i="37" s="1"/>
  <c r="W123" i="37"/>
  <c r="W125" i="37" s="1"/>
  <c r="N123" i="37"/>
  <c r="N125" i="37" s="1"/>
  <c r="V123" i="37"/>
  <c r="V125" i="37" s="1"/>
  <c r="O123" i="37"/>
  <c r="O125" i="37" s="1"/>
  <c r="P123" i="37"/>
  <c r="P125" i="37" s="1"/>
  <c r="X123" i="37"/>
  <c r="X125" i="37" s="1"/>
  <c r="Q123" i="37"/>
  <c r="Q125" i="37" s="1"/>
  <c r="R123" i="37"/>
  <c r="R125" i="37" s="1"/>
  <c r="S123" i="37"/>
  <c r="S125" i="37" s="1"/>
  <c r="U123" i="37"/>
  <c r="U125" i="37" s="1"/>
  <c r="K30" i="49" a="1"/>
  <c r="K30" i="49" s="1"/>
  <c r="K7" i="49" s="1" a="1"/>
  <c r="K7" i="49" s="1"/>
  <c r="K33" i="54"/>
  <c r="K70" i="17"/>
  <c r="K72" i="17" s="1"/>
  <c r="K10" i="17" s="1" a="1"/>
  <c r="K10" i="17" s="1"/>
  <c r="N46" i="24" s="1" a="1"/>
  <c r="N46" i="24" s="1"/>
  <c r="N28" i="24" a="1"/>
  <c r="N28" i="24" s="1"/>
  <c r="K37" i="22" a="1"/>
  <c r="K37" i="22" s="1"/>
  <c r="K18" i="22" l="1" a="1"/>
  <c r="K18" i="22" s="1"/>
  <c r="K7" i="22" s="1" a="1"/>
  <c r="K34" i="54"/>
  <c r="S153" i="49"/>
  <c r="S155" i="49" s="1"/>
  <c r="L153" i="49"/>
  <c r="L155" i="49" s="1"/>
  <c r="T153" i="49"/>
  <c r="T155" i="49" s="1"/>
  <c r="M153" i="49"/>
  <c r="M155" i="49" s="1"/>
  <c r="U153" i="49"/>
  <c r="U155" i="49" s="1"/>
  <c r="N153" i="49"/>
  <c r="N155" i="49" s="1"/>
  <c r="V153" i="49"/>
  <c r="V155" i="49" s="1"/>
  <c r="Q153" i="49"/>
  <c r="Q155" i="49" s="1"/>
  <c r="R153" i="49"/>
  <c r="R155" i="49" s="1"/>
  <c r="O153" i="49"/>
  <c r="O155" i="49" s="1"/>
  <c r="W153" i="49"/>
  <c r="W155" i="49" s="1"/>
  <c r="P153" i="49"/>
  <c r="P155" i="49" s="1"/>
  <c r="X153" i="49"/>
  <c r="X155" i="49" s="1"/>
  <c r="N29" i="24" a="1"/>
  <c r="N29" i="24" s="1"/>
  <c r="K125" i="37"/>
  <c r="K9" i="37" s="1" a="1"/>
  <c r="K9" i="37" s="1"/>
  <c r="N47" i="24" s="1" a="1"/>
  <c r="N47" i="24" s="1"/>
  <c r="K153" i="49"/>
  <c r="K7" i="22" l="1"/>
  <c r="K83" i="22" s="1"/>
  <c r="K85" i="22" s="1"/>
  <c r="W83" i="22"/>
  <c r="W85" i="22" s="1"/>
  <c r="Q83" i="22"/>
  <c r="Q85" i="22" s="1"/>
  <c r="L83" i="22"/>
  <c r="L85" i="22" s="1"/>
  <c r="R83" i="22"/>
  <c r="R85" i="22" s="1"/>
  <c r="T83" i="22"/>
  <c r="T85" i="22" s="1"/>
  <c r="M83" i="22"/>
  <c r="M85" i="22" s="1"/>
  <c r="N83" i="22"/>
  <c r="N85" i="22" s="1"/>
  <c r="V83" i="22"/>
  <c r="V85" i="22" s="1"/>
  <c r="P83" i="22"/>
  <c r="P85" i="22" s="1"/>
  <c r="O83" i="22"/>
  <c r="O85" i="22" s="1"/>
  <c r="S83" i="22"/>
  <c r="S85" i="22" s="1"/>
  <c r="U83" i="22"/>
  <c r="U85" i="22" s="1"/>
  <c r="X83" i="22"/>
  <c r="X85" i="22" s="1"/>
  <c r="K35" i="54"/>
  <c r="K155" i="49"/>
  <c r="K9" i="49" s="1" a="1"/>
  <c r="K9" i="49" s="1"/>
  <c r="N48" i="24" s="1" a="1"/>
  <c r="N48" i="24" s="1"/>
  <c r="N30" i="24" a="1"/>
  <c r="N30" i="24" s="1"/>
  <c r="N26" i="24" a="1"/>
  <c r="N26" i="24" s="1"/>
  <c r="K36" i="54" l="1"/>
  <c r="K9" i="22" a="1"/>
  <c r="K9" i="22" s="1"/>
  <c r="N44" i="24" s="1" a="1"/>
  <c r="N44" i="24" s="1"/>
  <c r="K37" i="54" l="1"/>
  <c r="K38" i="54" l="1"/>
  <c r="L50" i="56" l="1"/>
  <c r="L68" i="39"/>
  <c r="K39" i="54"/>
  <c r="L51" i="56" l="1"/>
  <c r="L69" i="39"/>
  <c r="K40" i="54"/>
  <c r="L52" i="56" l="1"/>
  <c r="L70" i="39"/>
  <c r="K41" i="54"/>
  <c r="L53" i="56" l="1"/>
  <c r="L71" i="39"/>
  <c r="K42" i="54"/>
  <c r="L54" i="56" l="1"/>
  <c r="L72" i="39"/>
  <c r="K43" i="54"/>
  <c r="L55" i="56" l="1"/>
  <c r="L73" i="39"/>
  <c r="K44" i="54"/>
  <c r="L56" i="56" l="1"/>
  <c r="L74" i="39"/>
  <c r="K45" i="54"/>
  <c r="L57" i="56" l="1"/>
  <c r="L75" i="39"/>
  <c r="K46" i="54"/>
  <c r="L58" i="56" l="1"/>
  <c r="L76" i="39"/>
  <c r="K47" i="54"/>
  <c r="L59" i="56" l="1"/>
  <c r="L77" i="39"/>
  <c r="K48" i="54"/>
  <c r="L60" i="56" l="1"/>
  <c r="L78" i="39"/>
  <c r="K49" i="54"/>
  <c r="L61" i="56" l="1"/>
  <c r="L79" i="39"/>
  <c r="K50" i="54"/>
  <c r="L62" i="56" l="1"/>
  <c r="L80" i="39"/>
  <c r="K51" i="54"/>
  <c r="L63" i="56" l="1"/>
  <c r="N46" i="56" s="1" a="1"/>
  <c r="N46" i="56" s="1"/>
  <c r="L81" i="39"/>
  <c r="N64" i="39" s="1" a="1"/>
  <c r="N64" i="39" s="1"/>
  <c r="K52" i="54"/>
  <c r="L93" i="56" l="1"/>
  <c r="L64" i="56"/>
  <c r="L65" i="56"/>
  <c r="L66" i="56"/>
  <c r="L67" i="56"/>
  <c r="L68" i="56"/>
  <c r="L69" i="56"/>
  <c r="L70" i="56"/>
  <c r="L71" i="56"/>
  <c r="L72" i="56"/>
  <c r="L74" i="56"/>
  <c r="L73" i="56"/>
  <c r="L75" i="56"/>
  <c r="L76" i="56"/>
  <c r="L77" i="56"/>
  <c r="L78" i="56"/>
  <c r="L79" i="56"/>
  <c r="L81" i="56"/>
  <c r="L80" i="56"/>
  <c r="L82" i="56"/>
  <c r="L83" i="56"/>
  <c r="L84" i="56"/>
  <c r="L87" i="56"/>
  <c r="L86" i="56"/>
  <c r="L89" i="56"/>
  <c r="L85" i="56"/>
  <c r="L88" i="56"/>
  <c r="L91" i="56"/>
  <c r="K36" i="38" a="1"/>
  <c r="V26" i="38" s="1"/>
  <c r="V18" i="38" s="1"/>
  <c r="K36" i="55" a="1"/>
  <c r="L90" i="56"/>
  <c r="L92" i="56"/>
  <c r="L111" i="39"/>
  <c r="L83" i="39"/>
  <c r="L82" i="39"/>
  <c r="L84" i="39"/>
  <c r="L86" i="39"/>
  <c r="L85" i="39"/>
  <c r="L87" i="39"/>
  <c r="L89" i="39"/>
  <c r="L88" i="39"/>
  <c r="L90" i="39"/>
  <c r="L91" i="39"/>
  <c r="L92" i="39"/>
  <c r="L93" i="39"/>
  <c r="L94" i="39"/>
  <c r="L96" i="39"/>
  <c r="L95" i="39"/>
  <c r="L97" i="39"/>
  <c r="L100" i="39"/>
  <c r="L99" i="39"/>
  <c r="L98" i="39"/>
  <c r="L101" i="39"/>
  <c r="L103" i="39"/>
  <c r="L102" i="39"/>
  <c r="L104" i="39"/>
  <c r="L105" i="39"/>
  <c r="L108" i="39"/>
  <c r="L106" i="39"/>
  <c r="L107" i="39"/>
  <c r="L109" i="39"/>
  <c r="L110" i="39"/>
  <c r="R26" i="38" l="1"/>
  <c r="R18" i="38" s="1"/>
  <c r="O26" i="38"/>
  <c r="O18" i="38" s="1"/>
  <c r="Q26" i="38"/>
  <c r="Q18" i="38" s="1"/>
  <c r="X26" i="38"/>
  <c r="X18" i="38" s="1"/>
  <c r="X26" i="55"/>
  <c r="X18" i="55" s="1"/>
  <c r="K36" i="55"/>
  <c r="K26" i="55" s="1"/>
  <c r="K18" i="55" s="1"/>
  <c r="P26" i="55"/>
  <c r="P18" i="55" s="1"/>
  <c r="Q26" i="55"/>
  <c r="Q18" i="55" s="1"/>
  <c r="N26" i="55"/>
  <c r="N18" i="55" s="1"/>
  <c r="S26" i="55"/>
  <c r="S18" i="55" s="1"/>
  <c r="M26" i="55"/>
  <c r="M18" i="55" s="1"/>
  <c r="W26" i="55"/>
  <c r="W18" i="55" s="1"/>
  <c r="U26" i="55"/>
  <c r="U18" i="55" s="1"/>
  <c r="O26" i="55"/>
  <c r="O18" i="55" s="1"/>
  <c r="R26" i="55"/>
  <c r="R18" i="55" s="1"/>
  <c r="T26" i="55"/>
  <c r="T18" i="55" s="1"/>
  <c r="L26" i="55"/>
  <c r="L18" i="55" s="1"/>
  <c r="V26" i="55"/>
  <c r="V18" i="55" s="1"/>
  <c r="L26" i="38"/>
  <c r="L18" i="38" s="1"/>
  <c r="T26" i="38"/>
  <c r="T18" i="38" s="1"/>
  <c r="S26" i="38"/>
  <c r="S18" i="38" s="1"/>
  <c r="M26" i="38"/>
  <c r="M18" i="38" s="1"/>
  <c r="U26" i="38"/>
  <c r="U18" i="38" s="1"/>
  <c r="K36" i="38"/>
  <c r="K26" i="38" s="1"/>
  <c r="K18" i="38" s="1"/>
  <c r="W26" i="38"/>
  <c r="W18" i="38" s="1"/>
  <c r="N26" i="38"/>
  <c r="N18" i="38" s="1"/>
  <c r="P26" i="38"/>
  <c r="P18" i="38" s="1"/>
  <c r="K8" i="38" l="1" a="1"/>
  <c r="R40" i="38" s="1"/>
  <c r="R42" i="38" s="1"/>
  <c r="K8" i="55" a="1"/>
  <c r="X40" i="38"/>
  <c r="X42" i="38" s="1"/>
  <c r="P40" i="38"/>
  <c r="P42" i="38" s="1"/>
  <c r="V40" i="38" l="1"/>
  <c r="V42" i="38" s="1"/>
  <c r="S40" i="38"/>
  <c r="S42" i="38" s="1"/>
  <c r="Q40" i="38"/>
  <c r="Q42" i="38" s="1"/>
  <c r="M40" i="38"/>
  <c r="M42" i="38" s="1"/>
  <c r="O40" i="38"/>
  <c r="O42" i="38" s="1"/>
  <c r="K8" i="38"/>
  <c r="N40" i="38"/>
  <c r="N42" i="38" s="1"/>
  <c r="T40" i="38"/>
  <c r="T42" i="38" s="1"/>
  <c r="W40" i="38"/>
  <c r="W42" i="38" s="1"/>
  <c r="U40" i="38"/>
  <c r="U42" i="38" s="1"/>
  <c r="L40" i="38"/>
  <c r="L42" i="38" s="1"/>
  <c r="S40" i="55"/>
  <c r="S42" i="55" s="1"/>
  <c r="U40" i="55"/>
  <c r="U42" i="55" s="1"/>
  <c r="L40" i="55"/>
  <c r="L42" i="55" s="1"/>
  <c r="Q40" i="55"/>
  <c r="Q42" i="55" s="1"/>
  <c r="O40" i="55"/>
  <c r="O42" i="55" s="1"/>
  <c r="X40" i="55"/>
  <c r="X42" i="55" s="1"/>
  <c r="P40" i="55"/>
  <c r="P42" i="55" s="1"/>
  <c r="K8" i="55"/>
  <c r="V40" i="55"/>
  <c r="V42" i="55" s="1"/>
  <c r="R40" i="55"/>
  <c r="R42" i="55" s="1"/>
  <c r="T40" i="55"/>
  <c r="T42" i="55" s="1"/>
  <c r="W40" i="55"/>
  <c r="W42" i="55" s="1"/>
  <c r="M40" i="55"/>
  <c r="M42" i="55" s="1"/>
  <c r="N40" i="55"/>
  <c r="N42" i="55" s="1"/>
  <c r="N40" i="24" l="1" a="1"/>
  <c r="N40" i="24" s="1"/>
  <c r="K40" i="38"/>
  <c r="K42" i="38" s="1"/>
  <c r="K9" i="38" s="1" a="1"/>
  <c r="K9" i="38" s="1"/>
  <c r="N49" i="24" s="1" a="1"/>
  <c r="N49" i="24" s="1"/>
  <c r="N41" i="24" a="1"/>
  <c r="N41" i="24" s="1"/>
  <c r="K40" i="55"/>
  <c r="K42" i="55" s="1"/>
  <c r="K9" i="55" l="1" a="1"/>
  <c r="K9" i="55" s="1"/>
  <c r="N50" i="24" s="1" a="1"/>
  <c r="N50" i="2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<sst xmlns="http://schemas.openxmlformats.org/spreadsheetml/2006/main" count="1833" uniqueCount="781">
  <si>
    <t>Dunsky Energy Consulting/Dunsky Expertise en Énergie</t>
  </si>
  <si>
    <t>Renewable Cost Forecast</t>
  </si>
  <si>
    <t>Primary Developer: Anirudh Kshemendranath</t>
  </si>
  <si>
    <t>Date: 2022-12-19</t>
  </si>
  <si>
    <t xml:space="preserve">Notes: </t>
  </si>
  <si>
    <t>Table of Contents</t>
  </si>
  <si>
    <t>Section and Sheet Titles</t>
  </si>
  <si>
    <t>Dashboard</t>
  </si>
  <si>
    <t>Location</t>
  </si>
  <si>
    <t>Ontario</t>
  </si>
  <si>
    <t>(dropdown)</t>
  </si>
  <si>
    <t>Discount Rate</t>
  </si>
  <si>
    <t>(enter)</t>
  </si>
  <si>
    <t>ITC Enabled</t>
  </si>
  <si>
    <t>No</t>
  </si>
  <si>
    <t>Storage Duration</t>
  </si>
  <si>
    <t>Project Interest Rate</t>
  </si>
  <si>
    <t>Debt Period</t>
  </si>
  <si>
    <t>Downpayment</t>
  </si>
  <si>
    <t>Gas Peaker</t>
  </si>
  <si>
    <t>CCGT</t>
  </si>
  <si>
    <t>Gas Peaker (w/o Carbon Tax)</t>
  </si>
  <si>
    <t>CCGT  (w/o Carbon Tax)</t>
  </si>
  <si>
    <t>Carbon Tax Inputs</t>
  </si>
  <si>
    <t>Year</t>
  </si>
  <si>
    <t>Annual Carbon Tax ($/ton)</t>
  </si>
  <si>
    <t>Section 1</t>
  </si>
  <si>
    <t>Approach</t>
  </si>
  <si>
    <t>Capex ($/kWh)</t>
  </si>
  <si>
    <t>Capex levelized over the MWac capacity</t>
  </si>
  <si>
    <t>Capex ($/kW)</t>
  </si>
  <si>
    <t>Opex levelized over the MWac capacity</t>
  </si>
  <si>
    <t>OPEX ($/kW-yr)</t>
  </si>
  <si>
    <t>Calculated Below</t>
  </si>
  <si>
    <t>LCOE ($/kWh)</t>
  </si>
  <si>
    <t>Energy Storage Power Capacity (MW)</t>
  </si>
  <si>
    <t>User Input</t>
  </si>
  <si>
    <t>Duration (hours)</t>
  </si>
  <si>
    <t>Energy Capacity (MWh)</t>
  </si>
  <si>
    <t>Battery Footprint (m2)</t>
  </si>
  <si>
    <t>Battery Footprint (m2) = Battery Capacity / Battery Footprint Density (MWh/m2)</t>
  </si>
  <si>
    <t>DOD</t>
  </si>
  <si>
    <t>Useable Capacity</t>
  </si>
  <si>
    <t>Project Life</t>
  </si>
  <si>
    <t>Capacity Factor</t>
  </si>
  <si>
    <t>Total System Costs</t>
  </si>
  <si>
    <t>Total CAPEX (2022 CA$M)</t>
  </si>
  <si>
    <t>Total Capex Costs = Equipment Costs + Installation Costs + Soft Costs</t>
  </si>
  <si>
    <t>Annual OPEX (2022 CA$M)</t>
  </si>
  <si>
    <t>Opex Costs</t>
  </si>
  <si>
    <t>System Cost Breakdown</t>
  </si>
  <si>
    <t>Equipment (2022$M)</t>
  </si>
  <si>
    <t>Total Equipment Costs ($M) = Battery Pack Prices ($M)+Bi-Directional Inverter Costs ($M)+Balance of System ($M)+Battery cabinet ($M)</t>
  </si>
  <si>
    <t>Battery Pack Prices (2022$M)</t>
  </si>
  <si>
    <t>Total Battery Pack Prices ($M) = Battery Pack Costs ($/kWh) * Energy Storage Capacity (MWh) *1000</t>
  </si>
  <si>
    <t>Bi-Directional Inverter Costs (2022$M)</t>
  </si>
  <si>
    <t>Total Bi-Directional Inverter Costs ($M) = Bi-Directional Inverter Costs ($/kW) * Energy Storage Power Capacity (MW) *1001</t>
  </si>
  <si>
    <t>Balance of System (2022$M)</t>
  </si>
  <si>
    <t>Balance of System Costs ($M) = Structural and Electrical Balance of System Costs *Energy Capacity (MWh)</t>
  </si>
  <si>
    <t>Battery cabinet (2022$M)</t>
  </si>
  <si>
    <t>Total Battery Cabinet Cost ($M) = Battery Cabinet Cost* Battery Footprint Costs</t>
  </si>
  <si>
    <t>Installation</t>
  </si>
  <si>
    <t>Installation rental equipment (2022$M)</t>
  </si>
  <si>
    <t>Installation rental equipment ($M) = Rental Equipment ($/m2) * Battery Footprint (m2)</t>
  </si>
  <si>
    <t>Direct installation labor (2022$M)</t>
  </si>
  <si>
    <t>Direct installation labour ($M) = 95 hours/m2 for all civil and electrical work * Hourly Labour Wages (CA$/hr)</t>
  </si>
  <si>
    <t>Soft Costs</t>
  </si>
  <si>
    <t>EPC overhead (2022$M)</t>
  </si>
  <si>
    <t>Calculated using NREL approach</t>
  </si>
  <si>
    <t>Sales tax (2022$M)</t>
  </si>
  <si>
    <t>Jurisdiction Specific Results</t>
  </si>
  <si>
    <t>Permitting and Interconnection Costs (2022$M)</t>
  </si>
  <si>
    <t>Developer Overhead (2022$M)</t>
  </si>
  <si>
    <t>Contingency (2022$M)</t>
  </si>
  <si>
    <t>Profit (2022$M)</t>
  </si>
  <si>
    <t>System-related expenses (2022$M)</t>
  </si>
  <si>
    <t>Fixed O&amp;M Costs for Energy Storage</t>
  </si>
  <si>
    <t>Property Related Expenses (2022$M)</t>
  </si>
  <si>
    <t>Propoerty Related Expenses ($M) = Land Lease and Property Taxes ($/kWdc-year)  * Energy Storage Capacity</t>
  </si>
  <si>
    <t>Administration Related Costs (2022$M)</t>
  </si>
  <si>
    <t>Administration Related Costs ($M) = Administration Costs ($/kWdc-year) * Energy Storage Capacity</t>
  </si>
  <si>
    <t>Component Unit Costs</t>
  </si>
  <si>
    <t>CAPEX Component Cost Breakdown</t>
  </si>
  <si>
    <t>Battery Pack Costs ($/kWh)</t>
  </si>
  <si>
    <t>Derived in the Inputs.ES Sheet</t>
  </si>
  <si>
    <t>Battery Inverter Costs ($/kWac)</t>
  </si>
  <si>
    <t>Electrical BOS ($/kWh)</t>
  </si>
  <si>
    <t>Structural BOS Costs ($/kWh)</t>
  </si>
  <si>
    <t>Rental Equipment ($/m2)</t>
  </si>
  <si>
    <t xml:space="preserve">Direct installation labor hours </t>
  </si>
  <si>
    <t>Labour Wages</t>
  </si>
  <si>
    <t>Battery Footprint Density (MWh/m2)</t>
  </si>
  <si>
    <t>OPEX Component Cost Breakdown</t>
  </si>
  <si>
    <t>Fixed O&amp;M ($/kW-year)</t>
  </si>
  <si>
    <t>Land Lease and Property Taxes ($/kWdc-year)</t>
  </si>
  <si>
    <t>Administration Costs ($/kWdc-year)</t>
  </si>
  <si>
    <t xml:space="preserve">Energy Storage </t>
  </si>
  <si>
    <t>Number of Cycles per year</t>
  </si>
  <si>
    <t>Average Lifetime Energy Capacity (Degradation)</t>
  </si>
  <si>
    <t>RTE</t>
  </si>
  <si>
    <t>Levelized Cost Calculation</t>
  </si>
  <si>
    <t>Capital Recovery Factor</t>
  </si>
  <si>
    <t>A capital recovery factor is the ratio of a constant annuity to the present value of receiving that annuity for a given length of time.</t>
  </si>
  <si>
    <t>Total Net Present Cost ($/kW)</t>
  </si>
  <si>
    <t>Net Present Costs assume upfront Overnight costs + Capital Financing Costs + Opex Costs</t>
  </si>
  <si>
    <t>Total Lifetime Energy Production (kWh/kW)</t>
  </si>
  <si>
    <t xml:space="preserve">Lifetime energy production assumes system degradation </t>
  </si>
  <si>
    <t>LCOE</t>
  </si>
  <si>
    <t>LCOE = Total Net Present Cost ($/kW) / Total Lifetime Energy Production (kWh/kW)</t>
  </si>
  <si>
    <t>Capex (2022 CA$/kW)</t>
  </si>
  <si>
    <t>OPEX (2022 CA$/kW-yr)</t>
  </si>
  <si>
    <t>LCOE (2022 CA$/kWh)</t>
  </si>
  <si>
    <t>Solar Module Capacity (MWdc)</t>
  </si>
  <si>
    <t>Solar Inverter Capacity (MWac)</t>
  </si>
  <si>
    <t>Assumes standard 100 MW facility</t>
  </si>
  <si>
    <t>Project Life (years)</t>
  </si>
  <si>
    <t>Derived in the Inputs.Solar Sheet</t>
  </si>
  <si>
    <t>Solar Capacity Factor</t>
  </si>
  <si>
    <t>Total CAPEX ($M) = Equipment Costs + Installation Costs + Soft Costs + Replacement Inverter Costs</t>
  </si>
  <si>
    <t>Total OPEX ($M)</t>
  </si>
  <si>
    <t>Module Costs (2022$M)</t>
  </si>
  <si>
    <t>Inverter Costs (2022$M)</t>
  </si>
  <si>
    <t>Inverter Costs ($ M) = Component Cost (12) * Solar Inverter Capacity (2)</t>
  </si>
  <si>
    <t>Total BOS Costs ($ M) = (Structural BOS Costs (15) * Electrical BOS Costs (16))* Total Module Surface Area (3) + Electrical BOS Fixed Costs (17)</t>
  </si>
  <si>
    <t>Grid Connection (2022$M)</t>
  </si>
  <si>
    <t>Total Grid Connection Costs ($M) = Transmission Line Costs (19) * Average Miles of Grid Connection (20)</t>
  </si>
  <si>
    <t>Total Installation Costs ($M)= Installation rental equipment (22) + Direct installation labor (24)</t>
  </si>
  <si>
    <t>Installation rental equipment ($M) = Rental Equipment ($/m2) * Module Area (m2)</t>
  </si>
  <si>
    <t>Direct installation labour (2022$M)</t>
  </si>
  <si>
    <t>Direct installation labour ($M) = 0.7 hours/m2 for all civil and electrical work * Hourly Labour Wages (CA$/hr)</t>
  </si>
  <si>
    <t>Total Soft Costs ($M)= EPC overhead (28) + Sales Tax (29) +  Permitting and Interconnection Costs (30) + Developer Overhead (31) + Contingency (32) + Profit (33)</t>
  </si>
  <si>
    <t>EPC overhead</t>
  </si>
  <si>
    <t xml:space="preserve">Sales tax </t>
  </si>
  <si>
    <t>Permitting and Interconnection Costs</t>
  </si>
  <si>
    <t>Developer Overhead</t>
  </si>
  <si>
    <t>Total Developer Overhead = 1.5% of Costs (Module , Inverter, BOS, Installation, EPC Overhead, Sales and Permitting) + CA$698,500</t>
  </si>
  <si>
    <t>Contingency</t>
  </si>
  <si>
    <t>Total Contingency = 3% of Costs (Module,Inverter,BOS,EPC overhead,Sales Tax Permitting and Interconnection)</t>
  </si>
  <si>
    <t>Profit</t>
  </si>
  <si>
    <t>Total Profit = 4.9% of Remaining Costs (Soft, Installation, Equipment) + CA$254,000</t>
  </si>
  <si>
    <t xml:space="preserve">Replacement Inverter </t>
  </si>
  <si>
    <t>Inverter Replacement (Yes/No)</t>
  </si>
  <si>
    <t>Assumes that inverter replacement costs are covered within the O&amp;M</t>
  </si>
  <si>
    <t>Inverter Replacement 1 Cost</t>
  </si>
  <si>
    <t>Assumed 1st inverter replacement costs</t>
  </si>
  <si>
    <t>Inverter Replacement 2 Cost</t>
  </si>
  <si>
    <t>Assumed 2nd inverter replacement costs</t>
  </si>
  <si>
    <t xml:space="preserve">Total OPEX Cost </t>
  </si>
  <si>
    <t>System-related expenses</t>
  </si>
  <si>
    <t>Assumes Module Maintenance and Vegetation Management Costs</t>
  </si>
  <si>
    <t>Property Related Expenses</t>
  </si>
  <si>
    <t>Propoerty Related Expenses ($M) = Land Lease and Property Taxes ($/kWdc-year) * Solar Module Capacity</t>
  </si>
  <si>
    <t>Administration Related Costs</t>
  </si>
  <si>
    <t>Administration Related Costs ($M) = Administration Costs ($/kWdc-year) * Solar Module Capacity</t>
  </si>
  <si>
    <t>Module Costs $/Wdc</t>
  </si>
  <si>
    <t>Inverter Cost ($/Wac)</t>
  </si>
  <si>
    <t>Structural BOS Costs ($/m2)</t>
  </si>
  <si>
    <t>Electrical BOS ($/m2)</t>
  </si>
  <si>
    <t>Electrical BOS - Fixed</t>
  </si>
  <si>
    <t>Transmission Line ($/mile)</t>
  </si>
  <si>
    <t>Average Miles of Grid Connection</t>
  </si>
  <si>
    <t>Hourly Labour Wages (CA$/hr)</t>
  </si>
  <si>
    <t>Maintenance ($/kWdc-year)</t>
  </si>
  <si>
    <t>Module Management ($/kWdc-year)</t>
  </si>
  <si>
    <t>Capex (2022 CA$/kWac)</t>
  </si>
  <si>
    <t>OPEX (2022 CA$/kWac-yr)</t>
  </si>
  <si>
    <t>System Specifications</t>
  </si>
  <si>
    <t>Solar Specifications</t>
  </si>
  <si>
    <t>Corrected Capacity Factor (RTE)</t>
  </si>
  <si>
    <t>Calculated below</t>
  </si>
  <si>
    <t>Energy Storage Specifications</t>
  </si>
  <si>
    <t>Ratio of Energy Storage to Solar</t>
  </si>
  <si>
    <t>Annual Dispatch</t>
  </si>
  <si>
    <t xml:space="preserve">Solar </t>
  </si>
  <si>
    <t>Structural Balance of System (2022$M)</t>
  </si>
  <si>
    <t>Battery</t>
  </si>
  <si>
    <t>Electrical Balance of System (2022$M)</t>
  </si>
  <si>
    <t xml:space="preserve">Replacement Costs </t>
  </si>
  <si>
    <t>Energy Storage Replacements</t>
  </si>
  <si>
    <t>Energy Storage Replacement Cost</t>
  </si>
  <si>
    <t>Installation (2022$M)</t>
  </si>
  <si>
    <t>75% * (PV installation labor and equipment + storage installation labor and equipment)</t>
  </si>
  <si>
    <t>Soft Costs (2022$M)</t>
  </si>
  <si>
    <t>Solar O&amp;M</t>
  </si>
  <si>
    <t>Storage O&amp;M</t>
  </si>
  <si>
    <t>Solar Component Unit Costs</t>
  </si>
  <si>
    <t>Energy Storage Component Unit Costs</t>
  </si>
  <si>
    <t>Energy Capacity</t>
  </si>
  <si>
    <t>Average Rated Capacity</t>
  </si>
  <si>
    <t>Losses (MWh)</t>
  </si>
  <si>
    <t>Calculated</t>
  </si>
  <si>
    <t>Solar Generation (MWh)</t>
  </si>
  <si>
    <t>Actual Generation Capacity (MWh)</t>
  </si>
  <si>
    <t>Corrected Capacity Factor</t>
  </si>
  <si>
    <t>Clipped Energy Solar (MWh)</t>
  </si>
  <si>
    <t>Net Excess Energy</t>
  </si>
  <si>
    <t>Wages</t>
  </si>
  <si>
    <t>CCGT, Combined Cycles</t>
  </si>
  <si>
    <t>CT</t>
  </si>
  <si>
    <t>CC</t>
  </si>
  <si>
    <t>System Power Rating (MW)</t>
  </si>
  <si>
    <t>Turbine Rating (MW)</t>
  </si>
  <si>
    <t>Derived in the Inputs.Wind Sheet</t>
  </si>
  <si>
    <t>Number of Turbines</t>
  </si>
  <si>
    <t>Number of Turbines = System Power Rating (6) / Turbine Rating (7)</t>
  </si>
  <si>
    <t>Wind Capacity Factor</t>
  </si>
  <si>
    <t>Total CAPEX Costs = Equipment Costs + Installation Costs + Soft Costs</t>
  </si>
  <si>
    <t>Turbine</t>
  </si>
  <si>
    <t>Rotor - Blades ($M)</t>
  </si>
  <si>
    <t>Rotor Blade Costs ($mil) = Total Costs Segmented Blade * Number of Turbines (8)</t>
  </si>
  <si>
    <t>Rotor  ($M)</t>
  </si>
  <si>
    <t>Rotor Costs ($mil) = Total Pitch and Hub Assembly costs per turbine (53,54) * Number of Turbines (8)</t>
  </si>
  <si>
    <t>Nacelle Module  ($M)</t>
  </si>
  <si>
    <t>Nacelle Module Costs ($mil) = Total Nacelle Module costs per turbine (57) * Number of Turbines (8)</t>
  </si>
  <si>
    <t>Tower Module  ($M)</t>
  </si>
  <si>
    <t>Tower Module Costs ($mil) = Total tower costs per turbine (59) * Number of Turbines (8)</t>
  </si>
  <si>
    <t>Transportation Costs Adder ($M)</t>
  </si>
  <si>
    <t>Total Transportation Cost Adder ($mil) = Blade Transportation Costs Adder ($M/turbine) (55) * Number of Turbines (8)</t>
  </si>
  <si>
    <t>Total Instalaltion Costs ($M) = Development (CA$M) + Engineering and project management (CA$M) + Foundation  (CA$M) + Site access and staging  (CA$M) + Assembly and installation (CA$M) + Electrical infrastructure  (CA$M)</t>
  </si>
  <si>
    <t>Development (CA$M)</t>
  </si>
  <si>
    <t>Total Development Cost ($mil) = Development per turbine (62) * Number of Turbines (8)</t>
  </si>
  <si>
    <t>Engineering and project management (CA$M)</t>
  </si>
  <si>
    <t>Total Engineering and project management Cost ($mil) = Total Engineering and project management per turbine (63) * Number of Turbines (8)</t>
  </si>
  <si>
    <t>Foundation  (CA$M)</t>
  </si>
  <si>
    <t>Total Foundation Cost ($mil) = Total Foundation per turbine (64) * Number of Turbines (8)</t>
  </si>
  <si>
    <t>Site access and staging  (CA$M)</t>
  </si>
  <si>
    <t>Total Site access and staging Cost ($mil) = Total Site access and staging per turbine (65) * Number of Turbines (8)</t>
  </si>
  <si>
    <t>Assembly and installation (CA$M)</t>
  </si>
  <si>
    <t>Total Assembly and installation Cost ($mil) = Total Assembly and installation per turbine (66) * Number of Turbines (8)</t>
  </si>
  <si>
    <t>Electrical infrastructure  (CA$M)</t>
  </si>
  <si>
    <t>Total Electrical infrastructure Cost ($mil) = Total Electrical infrastructure per turbine (67) * Number of Turbines (8)</t>
  </si>
  <si>
    <t xml:space="preserve">Sales Tax is applied to the total equipment cost </t>
  </si>
  <si>
    <t>Contingency is assumed at 3% of Sales Tax and Equipment Costs</t>
  </si>
  <si>
    <t>Assumed to be 4.9% of Contingency, Sales Tax, Installation and Equipment Costs</t>
  </si>
  <si>
    <t>Opex Costs = System Related Expenses + Property Expense + Adminstration Related Costs</t>
  </si>
  <si>
    <t>Total System Related Expenses ($M) = Turbine O&amp;M + BOP O&amp;M + Asset Management O&amp;M Costs</t>
  </si>
  <si>
    <t>Turbine O&amp;M  (CA$M)</t>
  </si>
  <si>
    <t>Total Turbine O&amp;M = Turbine O&amp;M ($M/turbine) * Number of Turbines (8)</t>
  </si>
  <si>
    <t>BOP O&amp;M  (CA$M)</t>
  </si>
  <si>
    <t>Total BOP O&amp;M = BOP O&amp;M ($M/turbine) * Number of Turbines (8)</t>
  </si>
  <si>
    <t>Asset Management O&amp;M  (CA$M)</t>
  </si>
  <si>
    <t>Total Asset Management O&amp;M =Asset Management O&amp;M ($M/turbine) * Number of Turbines (8)</t>
  </si>
  <si>
    <t>Total Property Expenses = Land Lease Costs + Property Tax</t>
  </si>
  <si>
    <t>Land Lease</t>
  </si>
  <si>
    <t>Property Related Expenses ($M) = Land Lease  ($/kWdc-year) *Wind Capacity</t>
  </si>
  <si>
    <t>Property Tax</t>
  </si>
  <si>
    <t>Property Related Expenses ($M) = Property Taxes ($/kWdc-year) *Wind Capacity</t>
  </si>
  <si>
    <t>Administration Related Costs ($M) = Administration Costs ($/kWdc-year) *Wind Capacity</t>
  </si>
  <si>
    <t>Rotor Module</t>
  </si>
  <si>
    <t>Rotor Diameter (m)</t>
  </si>
  <si>
    <t>Total Costs Segmented Blade ($M/Turbine)</t>
  </si>
  <si>
    <t>Hub Assembly  ($M/turbine)</t>
  </si>
  <si>
    <t>Pitch Assembly ($M/turbine)</t>
  </si>
  <si>
    <t>Blade Transportation Costs Adder ($M/turbine)</t>
  </si>
  <si>
    <t>Nacelle Module</t>
  </si>
  <si>
    <t>Nacelle Module Costs ($M/turbine)</t>
  </si>
  <si>
    <t>Tower</t>
  </si>
  <si>
    <t>Tower costs ($M/turbine)</t>
  </si>
  <si>
    <t>Tower Height (m)</t>
  </si>
  <si>
    <t>Balance of System Costs</t>
  </si>
  <si>
    <t>Development (CA$M/turbine)</t>
  </si>
  <si>
    <t>Engineering and project management (CA$M/turbine)</t>
  </si>
  <si>
    <t>Foundation (CA$M/turbine)</t>
  </si>
  <si>
    <t>Site access and staging (CA$M/turbine)</t>
  </si>
  <si>
    <t>Assembly and installation (CA$M/turbine)</t>
  </si>
  <si>
    <t>Electrical infrastructure (CA$M/turbine)</t>
  </si>
  <si>
    <t>Turbine O&amp;M ($M/turbine)</t>
  </si>
  <si>
    <t>BOP O&amp;M ($M/turbine)</t>
  </si>
  <si>
    <t>Asset Management O&amp;M ($M/turbine)</t>
  </si>
  <si>
    <t>Land Lease  ($2022/turbine)</t>
  </si>
  <si>
    <t>Property Tax ($2022/kW-year)</t>
  </si>
  <si>
    <t>Administration Related Costs ($2022/kW-year)</t>
  </si>
  <si>
    <t xml:space="preserve"> </t>
  </si>
  <si>
    <t>Capex ($/kWac)</t>
  </si>
  <si>
    <t>OPEX ($/kWac-yr)</t>
  </si>
  <si>
    <t>Wind Specifications</t>
  </si>
  <si>
    <t>Ratio of Energy Storage to Wind</t>
  </si>
  <si>
    <t>Total CAPEX Costs = Equipment Costs + Installation Costs + Soft Costs + Total Battery Costs</t>
  </si>
  <si>
    <t xml:space="preserve">Opex Costs </t>
  </si>
  <si>
    <t>Wind</t>
  </si>
  <si>
    <t xml:space="preserve">Total Battery Capex Costs = Total Equipment Costs + Replacement Costs  + Installation Costs </t>
  </si>
  <si>
    <t xml:space="preserve">Calculated Number of Replacement </t>
  </si>
  <si>
    <t>Calculated Energy Storage Costs</t>
  </si>
  <si>
    <t>Wind + Battery</t>
  </si>
  <si>
    <t>Storage Fixed O&amp;M</t>
  </si>
  <si>
    <t>Wind Generation (MWh)</t>
  </si>
  <si>
    <t>System Specifications- Canada</t>
  </si>
  <si>
    <t>Derived in the Inputs.Gas.Peaker Sheet</t>
  </si>
  <si>
    <t>Total Equipment Costs</t>
  </si>
  <si>
    <t>Fixed O&amp;M + Variable O&amp;M + Fuel Costs + Carbon Tax</t>
  </si>
  <si>
    <t>CAPEX (2022$M) - Canada</t>
  </si>
  <si>
    <t>Equipment Costs (2022$M)</t>
  </si>
  <si>
    <t>Calcualted</t>
  </si>
  <si>
    <t>Fixed O&amp;M Costs (2022$M)</t>
  </si>
  <si>
    <t>Variable O&amp;M Costs (2022$M)</t>
  </si>
  <si>
    <t>Fuel Costs ($2022M)</t>
  </si>
  <si>
    <t>Carbon Tax ($2022M)</t>
  </si>
  <si>
    <t>Upfront Capital Costs ($/kW)</t>
  </si>
  <si>
    <t>Fixed O&amp;M Costs ($/kW-yr)</t>
  </si>
  <si>
    <t>Variable O&amp;M Costs ($/MWh)</t>
  </si>
  <si>
    <t>Fuel Costs ($/MMBtu)</t>
  </si>
  <si>
    <t>Fuel Costs ($/MWh)</t>
  </si>
  <si>
    <t xml:space="preserve">Capacity Factor </t>
  </si>
  <si>
    <t>Annual Generation (MWh)</t>
  </si>
  <si>
    <t>Section 2</t>
  </si>
  <si>
    <t>Resource Cost Forecast</t>
  </si>
  <si>
    <t>Energy Storage Inputs</t>
  </si>
  <si>
    <t>Li-ion battery price ($/kWh)</t>
  </si>
  <si>
    <t>Notes</t>
  </si>
  <si>
    <t>Additional Sources</t>
  </si>
  <si>
    <t>Cost Estimates/ Sources (USD)</t>
  </si>
  <si>
    <t>The Battery Report 2021 (usrfiles.com)</t>
  </si>
  <si>
    <t xml:space="preserve">The costs were published in 2018; therefore need to take them with a grain of salt. Supply chain constraints will push prices up. Also, these costs are for passenger vehicles and therefore cannot be translated directly for stationary stroage. Prismatic cells should be the technology choice of the future given that major manufacturers are moving towards that - CATL and Tesla. </t>
  </si>
  <si>
    <t>Cell format by manufacturer [https://cicenergigune.com/en/blog/format-battery-cell-manufacturers-prismatic-cylindrical-pouch#:~:text=Regarding%20Chinese%20battery%20manufacturers%2C%20CATL%20%28the%20world%C2%B4s%20largest,as%20Volkswagen%29%20both%20opt%20for%20the%20prismatic%20format.]</t>
  </si>
  <si>
    <t>Prismatic Cell Costs ($US 2018)</t>
  </si>
  <si>
    <t>We will ignore the 2020 costs since they are not reflective of the current market cponditions</t>
  </si>
  <si>
    <t>Pouch Cell Costs ($US 2018)</t>
  </si>
  <si>
    <t>Ignore Pouch and Cylindrical Cells</t>
  </si>
  <si>
    <t>Cylindrical Cell Costs ($US 2018)</t>
  </si>
  <si>
    <t>CPI 2022: 2018</t>
  </si>
  <si>
    <t>Prismatic Cell Costs Stationary Storage ($US 2022)</t>
  </si>
  <si>
    <t>Lithium-ion Battery (LFP and NMC) | PNNL</t>
  </si>
  <si>
    <t>LFP DC Block (100MW/4hrs) $US 2022</t>
  </si>
  <si>
    <t>NMC DC Block (100MW/4hrs) $US 2022</t>
  </si>
  <si>
    <t>U.S. Solar Photovoltaic System and Energy Storage Cost Benchmarks, With Minimum Sustainable Price Analysis: Q1 2022 (nrel.gov)</t>
  </si>
  <si>
    <t>Minimum US$2021</t>
  </si>
  <si>
    <t>Maximum US$2021</t>
  </si>
  <si>
    <t>This is the minimum support price therefore may not be best reflection of the costs</t>
  </si>
  <si>
    <t>Storage Futures Study: Storage Technology Modeling Input Data Report (nrel.gov)</t>
  </si>
  <si>
    <t>Cost Esclation Assumed for Stationary Storage</t>
  </si>
  <si>
    <t xml:space="preserve">The differences in prices are due to differences in the cell and pack design, and battery performance requirements. Since the BNEF Costs are for passenger vehicles an escalation is calculated for stationary storage applications. </t>
  </si>
  <si>
    <t>Utility-Scale Battery Storage | Electricity | 2022 | ATB | NREL</t>
  </si>
  <si>
    <t>Advanced (US$2020/kWh)</t>
  </si>
  <si>
    <t>Moderate  (US$2020/kWh)</t>
  </si>
  <si>
    <t>Conservative  (US$2020/kWh)</t>
  </si>
  <si>
    <t>Cost Declines</t>
  </si>
  <si>
    <t>Order Megapack (tesla.com)</t>
  </si>
  <si>
    <t>Site: Michigan, Q1 2025, No Installation, 100 Megapacks, no Tax</t>
  </si>
  <si>
    <t>2- hr system</t>
  </si>
  <si>
    <t>4-hr system</t>
  </si>
  <si>
    <t>Energy (MWh)</t>
  </si>
  <si>
    <t>Power (MW)</t>
  </si>
  <si>
    <t>Total Price</t>
  </si>
  <si>
    <t>Power Price ($/MW)</t>
  </si>
  <si>
    <t>Estimated Battery Prices ($/kWh)</t>
  </si>
  <si>
    <t>Price Forecast Ensemble ($US)</t>
  </si>
  <si>
    <t>BNEF/HIS Markit</t>
  </si>
  <si>
    <t>PNNL</t>
  </si>
  <si>
    <t>NREL</t>
  </si>
  <si>
    <t>ATB (Forecast pegged to US$2022 prices)</t>
  </si>
  <si>
    <t>Locational Price Insights</t>
  </si>
  <si>
    <t>Alberta Battery Cell Prices (CA$2022/kWh)</t>
  </si>
  <si>
    <t>Developer Adjustment</t>
  </si>
  <si>
    <t>Average Alberta Battery Cell Prices (CA$2022/kWh)</t>
  </si>
  <si>
    <t>Ontario Battery Cell Prices (CA$2022/kWh)</t>
  </si>
  <si>
    <t>Price Forecast Canada</t>
  </si>
  <si>
    <t>Average Cost Forecast ($2022 CAD)</t>
  </si>
  <si>
    <t>Canada Forecast (CA$2022)</t>
  </si>
  <si>
    <t>Alberta Forecast (CA$2022)</t>
  </si>
  <si>
    <t>Ontario Forecast (CA$2022)</t>
  </si>
  <si>
    <t>Battery Inverter Costs ($/kW)</t>
  </si>
  <si>
    <t>LFP Power Equipment (100MW/4hrs) $US 2022 $/kW</t>
  </si>
  <si>
    <t>NMC Power Equipment (100MW/4hrs) $US 2022 $/kW</t>
  </si>
  <si>
    <t>Battery central inverter price (US$2018/kW )</t>
  </si>
  <si>
    <t>Advanced (US$2020/kW)</t>
  </si>
  <si>
    <t>Moderate (US$2020/kW)</t>
  </si>
  <si>
    <t>Conservative (US$2020/kW)</t>
  </si>
  <si>
    <t>Forecast</t>
  </si>
  <si>
    <t>Bidirectional inverter price</t>
  </si>
  <si>
    <t>Solar Inverter Cost Declines</t>
  </si>
  <si>
    <t>Representative Cost Declines (Canada)</t>
  </si>
  <si>
    <t>Alberta Battery Inverter Costs (CA$2022/kW)</t>
  </si>
  <si>
    <t>Average Alberta Battery Inverter Costs (CA$2022/kW)</t>
  </si>
  <si>
    <t>Ontario Battery Inverter Costs (CA$2022/kW)</t>
  </si>
  <si>
    <t>LFP DC Storage Electrical BOS (100MW/4hrs) $US 2022 $/kW</t>
  </si>
  <si>
    <t>PNNL Costs were too low compared to other sources. Maybe the cost allocation is not correct- Decided to ignore theses costs</t>
  </si>
  <si>
    <t>NMC DC Storage Electrical BOS (100MW/4hrs) $US 2022 $/kW</t>
  </si>
  <si>
    <t>Electrical BOS (US$2018/kW )</t>
  </si>
  <si>
    <t>Structural BOS (US$2018/kW)</t>
  </si>
  <si>
    <t>Electrical BOS (US$2022/kWh - 4 hour system)</t>
  </si>
  <si>
    <t>Converted the costs from 2018 to 2022; Divided by 4 to get the $/kWh costs</t>
  </si>
  <si>
    <t>Structural BOS (US$2022/kWh - 4-hour system)</t>
  </si>
  <si>
    <t>Electrical BOS (US$2020/m2)</t>
  </si>
  <si>
    <t>Structural BOS (US$2020/m2)</t>
  </si>
  <si>
    <t>Battery size per container (kWh/m2)</t>
  </si>
  <si>
    <t>Electrical BOS (US$2022/kWh - 4-hour system)</t>
  </si>
  <si>
    <t>Structural BOS  (US$2022/kWh - 4-hour system)</t>
  </si>
  <si>
    <t>Average Electrical BOS (US$2022/kWh - 4-hour system)</t>
  </si>
  <si>
    <t>Average Structural BOS  (US$2022/kWh - 4-hour system)</t>
  </si>
  <si>
    <t>PNNL - Electrical BOS (US$2022/kWh - 4-hour system)</t>
  </si>
  <si>
    <t>Solar - Electrical BOS Price Forecast (US$2022/kWh - 4-hour system)</t>
  </si>
  <si>
    <t>PNNL - Structural BOS (US$2022/kWh - 4-hour system)</t>
  </si>
  <si>
    <t>Solar - Strucutral BOS Price Forecast (US$2022/kWh - 4-hour system)</t>
  </si>
  <si>
    <t>Alberta Prices (CA$2022/m2)</t>
  </si>
  <si>
    <t>Struc BOS</t>
  </si>
  <si>
    <t>Elect BOS</t>
  </si>
  <si>
    <t>Average Alberta Prices (CA$2022/m2)</t>
  </si>
  <si>
    <t>Ontario Prices (CA$2022/m2)</t>
  </si>
  <si>
    <t>Average Electrical BOS Price Forecast</t>
  </si>
  <si>
    <t>Average Strucutral BOS Price Forecast</t>
  </si>
  <si>
    <t>Structural BOS (CA$2022/kWh)</t>
  </si>
  <si>
    <t>Electrical BOS (CA$2022/kWh)</t>
  </si>
  <si>
    <t>Battery Cabinet Costs</t>
  </si>
  <si>
    <t>Battery cabinet (US$2021/kWh)</t>
  </si>
  <si>
    <t>Includes battery packs, containers, thermal management system, and fire suppression system</t>
  </si>
  <si>
    <t>Battery cabinet (US$2022/kWh)</t>
  </si>
  <si>
    <t>Battery cabinet (US$2022/kWh) ex battery pack</t>
  </si>
  <si>
    <t>Battery cabinet (US$2022/m2) ex battery pack</t>
  </si>
  <si>
    <t>4MWh battery has a footprint of 30m2; therefore $/m2 of battery cabinet cost is calculated</t>
  </si>
  <si>
    <t>Battery Energy Densities (kWh/kg)</t>
  </si>
  <si>
    <t>ES O&amp;M Cost Forecasts</t>
  </si>
  <si>
    <t>Fixed O&amp;M (US$2022/kW-year)</t>
  </si>
  <si>
    <t>Fixed O&amp;M (US$2018/kW-year)</t>
  </si>
  <si>
    <t>Variable O&amp;M (US$2018/MWh)</t>
  </si>
  <si>
    <t>Annual Maintenance</t>
  </si>
  <si>
    <t>O&amp;M ($/kW-yr)</t>
  </si>
  <si>
    <t>Escalation 2%</t>
  </si>
  <si>
    <t>Cost Declines (Pegged to Tesla) (US$2022/kW)</t>
  </si>
  <si>
    <t>SFS - NREL</t>
  </si>
  <si>
    <t>ATB (Pegged to Tesla)</t>
  </si>
  <si>
    <t>Average</t>
  </si>
  <si>
    <t>Locational Price Insights - Land Lease and Property Costs (CA$2022/kWdc)</t>
  </si>
  <si>
    <t>Alberta  Land Lease and Property Costs (CA$2022/kWdc)</t>
  </si>
  <si>
    <t>Average Alberta  Land Lease and Property Costs (CA$2022/kWdc)</t>
  </si>
  <si>
    <t>Ontario  Land Lease and Property Costs (CA$2022/kWdc)</t>
  </si>
  <si>
    <t>Average Ontario  Land Lease and Property Costs (CA$2022/kWdc)</t>
  </si>
  <si>
    <t>Canada Land Lease and Property Costs (CA$2022/kWdc)</t>
  </si>
  <si>
    <t>Fixed O&amp;M</t>
  </si>
  <si>
    <t>Land Lease and Property Costs (CA$2022/kWdc)</t>
  </si>
  <si>
    <t>Adminstration Costs (CA$2022/kWdc)</t>
  </si>
  <si>
    <t>Energy Storage Technical Characteristics</t>
  </si>
  <si>
    <t>Round Trip Efficiency</t>
  </si>
  <si>
    <t>RTE Forecast</t>
  </si>
  <si>
    <t>Solar Inputs</t>
  </si>
  <si>
    <t>Solar Module Prices ($/Wdc)</t>
  </si>
  <si>
    <t>Module price (US$2021/Wdc)</t>
  </si>
  <si>
    <t>The average of MSP and MMP is obtained. No supply chain premium owing to large orders</t>
  </si>
  <si>
    <t>Module price (US$2022/Wdc)</t>
  </si>
  <si>
    <t>International Technology Roadmap for Photovoltaic (ITRPV) - vdma.org - VDMA</t>
  </si>
  <si>
    <t>Global Cost Decline of Solar PV Costs</t>
  </si>
  <si>
    <t>Solar Manufacturing Cost Analysis | Solar Market Research and Analysis | NREL</t>
  </si>
  <si>
    <t>Expected Module Prices (US$2018/Wdc)</t>
  </si>
  <si>
    <t>Expected Module Prices (US$2022/Wdc)</t>
  </si>
  <si>
    <t>Renewable Power Generation Costs in 2021 (irena.org)</t>
  </si>
  <si>
    <t>Module (US$ 2021/kW)</t>
  </si>
  <si>
    <t>US</t>
  </si>
  <si>
    <t>Canada</t>
  </si>
  <si>
    <t>Adder %</t>
  </si>
  <si>
    <t>Price Forecast Ensemble ($US/Wdc)</t>
  </si>
  <si>
    <t>ITR-PV</t>
  </si>
  <si>
    <t>NREL (Cost)</t>
  </si>
  <si>
    <t>Alberta Module Prices (CA$2022/Wdc)</t>
  </si>
  <si>
    <t>Average Alberta Module Price (CA$2022/Wdc)</t>
  </si>
  <si>
    <t>Ontario Module Prices (CA$2022/Wdc)</t>
  </si>
  <si>
    <t>Ontario Module Price (CA$2022/Wdc)</t>
  </si>
  <si>
    <t>Solar Inverter Costs ($/Wac)</t>
  </si>
  <si>
    <t>Inverter price (US$2021/Wac)</t>
  </si>
  <si>
    <t>Inverter price (US$2022/Wac)</t>
  </si>
  <si>
    <t>Proportional Cost Declines (Based on NREL)</t>
  </si>
  <si>
    <t>Inverter (US$ 2021/kW)</t>
  </si>
  <si>
    <t>Price Forecast Ensemble ($US/Wac)</t>
  </si>
  <si>
    <t>Alberta Inverter Prices (CA$2022/Wac)</t>
  </si>
  <si>
    <t>Average Alberta Inverter Prices (CA$2022/Wac)</t>
  </si>
  <si>
    <t>Ontario Inverter Prices (CA$2022/Wac)</t>
  </si>
  <si>
    <t>Solar Balance of Cost</t>
  </si>
  <si>
    <t>Data is obtained from Figure 3.5(Detailed breakdown of utility-scale solar PV total installed costs by country, 2021).</t>
  </si>
  <si>
    <t>Racking (US$ 2021/kW)</t>
  </si>
  <si>
    <t>Derate</t>
  </si>
  <si>
    <t>Cabling (US$ 2021/kW)</t>
  </si>
  <si>
    <t>Structural BOS (US$2021/m2)</t>
  </si>
  <si>
    <t>Structural BOS (US$2022/m2)</t>
  </si>
  <si>
    <t>Electrical BOS (US$2021/m2)</t>
  </si>
  <si>
    <t>Electrical BOS - Fixed (US$2021)</t>
  </si>
  <si>
    <t>Electrical BOS (US$2022/m2)</t>
  </si>
  <si>
    <t>Electrical BOS - Fixed (US$2022)</t>
  </si>
  <si>
    <t>Global Cost Decline of Solar PV Costs- Structual BOS</t>
  </si>
  <si>
    <t>Global Cost Decline of Solar PV Costs- Electrical BOS</t>
  </si>
  <si>
    <t>Proportional Cost Declines - Fixed (Based on NREL)</t>
  </si>
  <si>
    <t>Structural BOS (CA$2022)</t>
  </si>
  <si>
    <t>Electrical BOS (CA$2022/Wac)</t>
  </si>
  <si>
    <t>Electrical BOS - Fixed (CA$2022/Wac)</t>
  </si>
  <si>
    <t>Grid Interconnection Costs</t>
  </si>
  <si>
    <t>Grid Transmission Charge (US$M2021/mile)</t>
  </si>
  <si>
    <t>Grid Transmission Charge (US$M2022/mile)</t>
  </si>
  <si>
    <t>Alberta Transmission Line (CA$M2022/mile)</t>
  </si>
  <si>
    <t>Ontario Transmission Line  (CA$M2022/mile)</t>
  </si>
  <si>
    <t>Grid Transmission Charge (CA$M2022/Wac)</t>
  </si>
  <si>
    <t>Solar Installation Costs</t>
  </si>
  <si>
    <t>Installation rental equipment (US$2021/m2)</t>
  </si>
  <si>
    <t>Installation rental equipment (US$2022/m2)</t>
  </si>
  <si>
    <t>Locational Price Insights - Installation rental equipment  (CA$2022/m2)</t>
  </si>
  <si>
    <t>Alberta Installation rental equipment  (CA$2022/m2)</t>
  </si>
  <si>
    <t>Average Alberta Installation rental equipment  (CA$2022/m2)</t>
  </si>
  <si>
    <t>Ontario Installation rental equipment  (CA$2022/m2)</t>
  </si>
  <si>
    <t>Labor Wages</t>
  </si>
  <si>
    <t>System Operator - Electrical Power Systems in Canada | Wages - Job Bank</t>
  </si>
  <si>
    <t>Hourly Rate</t>
  </si>
  <si>
    <t>Annual Wage Increase</t>
  </si>
  <si>
    <t>Alberta</t>
  </si>
  <si>
    <t>Employee wages by occupation, annual (statcan.gc.ca)</t>
  </si>
  <si>
    <t>Industrial, electrical and construction trades [72]</t>
  </si>
  <si>
    <t>Wage CAGR</t>
  </si>
  <si>
    <t>Installation rental equipment  (CA$2022/m2)</t>
  </si>
  <si>
    <t>Hourly Labour Wages</t>
  </si>
  <si>
    <t>Solar O&amp;M Cost Forecasts</t>
  </si>
  <si>
    <t>Utility-Scale PV | Electricity | 2022 | ATB | NREL</t>
  </si>
  <si>
    <t>Advanced</t>
  </si>
  <si>
    <t>Moderate</t>
  </si>
  <si>
    <t>Conservative</t>
  </si>
  <si>
    <t>Cost Forecast Declines</t>
  </si>
  <si>
    <t>solar_life_and_opex_report.pdf (lbl.gov)</t>
  </si>
  <si>
    <t>Being Conservative and taking max values</t>
  </si>
  <si>
    <t>Fixed O&amp;M (Maintenace) 2019US$/kWdc-year</t>
  </si>
  <si>
    <t>Fixed O&amp;M (Maintenace) 2022US$/kWdc-year</t>
  </si>
  <si>
    <t>Locational Price Insights - O&amp;M Prices (CA$2022/kWdc)</t>
  </si>
  <si>
    <t>Alberta O&amp;M Prices (CA$2022/kWdc)</t>
  </si>
  <si>
    <t>Average Alberta O&amp;M Prices (CA$2022/kWdc)</t>
  </si>
  <si>
    <t>Ontario O&amp;M Prices (CA$2022/kWdc)</t>
  </si>
  <si>
    <t>Module Cleaning &amp; vegetation management (2019US$/kWdc-year)</t>
  </si>
  <si>
    <t>Module Cleaning &amp; vegetation management 2022US$/kWdc-year</t>
  </si>
  <si>
    <t>Locational Price Insights - Module Cleaning Prices (CA$2022/kWdc)</t>
  </si>
  <si>
    <t>Alberta Module Cleaning Prices (CA$2022/kWdc)</t>
  </si>
  <si>
    <t>Average Alberta Module Cleaning Prices (CA$2022/kWdc)</t>
  </si>
  <si>
    <t>Ontario Module Cleaning Prices (CA$2022/kWdc)</t>
  </si>
  <si>
    <t>Average Ontario Module Cleaning Prices (CA$2022/kWdc)</t>
  </si>
  <si>
    <t>2022-Tax-Rates.pdf (centralhuron.ca)</t>
  </si>
  <si>
    <t>Fixed O&amp;M (CA$2022/kWdc)</t>
  </si>
  <si>
    <t>Module Cleaning (CA$2022/kWdc)</t>
  </si>
  <si>
    <t>Solar Technical Characteristics</t>
  </si>
  <si>
    <t>Inverter Sizing Ratio</t>
  </si>
  <si>
    <t>Utility-Scale Solar, 2022 Edition</t>
  </si>
  <si>
    <t>Inverter Loading Ration Interpolation</t>
  </si>
  <si>
    <t xml:space="preserve">The Inverter Loading Ratio describes the ratio of project capacity measured in MWDC at the inverter to the nominal inverter capacity measured in MWAC. Assumes that the ILR will remain fairly consistent for fixed axis systems and the median will increase linearly to the 80th percentile (2021) ratios by 2035. </t>
  </si>
  <si>
    <t>Module Efficiency</t>
  </si>
  <si>
    <t>Module Efficiency %</t>
  </si>
  <si>
    <t>Module Efficiency % Interpolation</t>
  </si>
  <si>
    <t>Solar Project Life</t>
  </si>
  <si>
    <t>Project Life Forecast</t>
  </si>
  <si>
    <t>Round Up Project Life</t>
  </si>
  <si>
    <t>Wind Rotor Module Costs</t>
  </si>
  <si>
    <t>Blade Costs</t>
  </si>
  <si>
    <t xml:space="preserve">LBNL - R&amp;D Pathways for Supersized Wind Turbine Blades </t>
  </si>
  <si>
    <t>Blade Length (m)</t>
  </si>
  <si>
    <t>Cost of Monolithic Blade ($/blade)</t>
  </si>
  <si>
    <t>Cost of Segmented Blade ($/blade)</t>
  </si>
  <si>
    <t>Total Cost of Monolithic Blade ($M/turbine)</t>
  </si>
  <si>
    <t>Total Cost of Segmented Blade  ($M/turbine)</t>
  </si>
  <si>
    <t>Hub and Pitch Assembly</t>
  </si>
  <si>
    <t>2020 Cost of Wind Energy Review (nrel.gov)</t>
  </si>
  <si>
    <t>Pitch assembly (US$2020/kW)</t>
  </si>
  <si>
    <t>Hub assembly (US$2020/kW)</t>
  </si>
  <si>
    <t>Pitch assembly (US$2022/kW)</t>
  </si>
  <si>
    <t>Hub assembly (US$2022/kW)</t>
  </si>
  <si>
    <t>Turbine Capacity (MW)</t>
  </si>
  <si>
    <t>Pitch assembly (2022CA$M/turbine)</t>
  </si>
  <si>
    <t>Hub assembly(2022CA$M/turbine)</t>
  </si>
  <si>
    <t>Canada wide Blade Costs (2022CA$M/turbine)</t>
  </si>
  <si>
    <t>Canada wide Pitch Assembly Costs (2022CA$M/turbine)</t>
  </si>
  <si>
    <t>Canada wide Hub Assembly Costs (2022CA$M/turbine)</t>
  </si>
  <si>
    <t>Wind Nacelle Module Costs</t>
  </si>
  <si>
    <t>Nacelle structural assembly (US$2022/kW)</t>
  </si>
  <si>
    <t>Drivetrain assembly (US$2022/kW)</t>
  </si>
  <si>
    <t>Nacelle electrical assembly (US$2022/kW)</t>
  </si>
  <si>
    <t>Yaw assembly (US$2022/kW)</t>
  </si>
  <si>
    <t>Turbine Nameplate Capacity (MW)</t>
  </si>
  <si>
    <t>Nacelle structural assembly (US$M2022/turbine)</t>
  </si>
  <si>
    <t>Drivetrain assembly (US$M2022/turbine)</t>
  </si>
  <si>
    <t>Nacelle electrical assembly (US$M2022/turbine)</t>
  </si>
  <si>
    <t>Yaw assembly (US$M2022/turbine)</t>
  </si>
  <si>
    <t>Total Nacelle Costs  (US$2022/kW)</t>
  </si>
  <si>
    <t>Rotor and nacelle mass (wind-energy-the-facts.org)</t>
  </si>
  <si>
    <t>Nacelle Expected Mass (tonnes)</t>
  </si>
  <si>
    <t>Proportional Increase in Material</t>
  </si>
  <si>
    <t>Proportional Increase in Capacity</t>
  </si>
  <si>
    <t>Anticipated Increase in Costs</t>
  </si>
  <si>
    <t>Nacelle Price Forecast (CA$M/turbine)</t>
  </si>
  <si>
    <t>Wind Tower Costs</t>
  </si>
  <si>
    <t>Tower Module</t>
  </si>
  <si>
    <t>Tower Costs (US$2022/kW)</t>
  </si>
  <si>
    <t>Hub Height Interpolation (m)</t>
  </si>
  <si>
    <t>Tower Costs (US$M2022/m)</t>
  </si>
  <si>
    <t>Tower Price Forecast (CA$M/turbine)</t>
  </si>
  <si>
    <t>Wind Balance of System Costs</t>
  </si>
  <si>
    <t>% Assumed Labour</t>
  </si>
  <si>
    <t>US (CAD)</t>
  </si>
  <si>
    <t>Development (US$2022/kW)</t>
  </si>
  <si>
    <t>Engineering and project management (US$2022/kW)</t>
  </si>
  <si>
    <t>Foundation (US$2022/kW)</t>
  </si>
  <si>
    <t>Site access and staging (US$2022/kW)</t>
  </si>
  <si>
    <t>Assembly and installation (US$2022/kW)</t>
  </si>
  <si>
    <t>Electrical infrastructure (US$2022/kW)</t>
  </si>
  <si>
    <t>Total Costs (US$2022/kW)</t>
  </si>
  <si>
    <t>Balance of System Costs (US$2022/Turbine)</t>
  </si>
  <si>
    <t>Wages for Construction trades helpers and labourers - Job Bank</t>
  </si>
  <si>
    <t>Careers in Wind Energy : U.S. Bureau of Labor Statistics (bls.gov)</t>
  </si>
  <si>
    <t>Wages for Heavy equipment operators - Job Bank</t>
  </si>
  <si>
    <t>Wages for Crane operators - Job Bank</t>
  </si>
  <si>
    <t>Canada Wage Growth Rate</t>
  </si>
  <si>
    <t>Median Labour Costs (Hourly)</t>
  </si>
  <si>
    <t>US Labor Costs</t>
  </si>
  <si>
    <t>Construction laborers</t>
  </si>
  <si>
    <t>Operating engineers and other construction equipment operators</t>
  </si>
  <si>
    <t>Crane and tower operators</t>
  </si>
  <si>
    <t>Electricians</t>
  </si>
  <si>
    <t>DESIGN ENGINEER, ELECTRICAL POWER SYSTEMS</t>
  </si>
  <si>
    <t>Appendix E. Summary of Land-Based System Cost Breakdown Structure 2013 Cost of Wind Energy Review (nrel.gov)</t>
  </si>
  <si>
    <t>% Cost Breakdown</t>
  </si>
  <si>
    <t>% Labour</t>
  </si>
  <si>
    <t>% Sub-Labour</t>
  </si>
  <si>
    <t>Permitting and leasing</t>
  </si>
  <si>
    <t>Permit acquisition activities</t>
  </si>
  <si>
    <t>Lease acquisition activities</t>
  </si>
  <si>
    <t>Public outreach</t>
  </si>
  <si>
    <t>Professional advisory services</t>
  </si>
  <si>
    <t>Engineering</t>
  </si>
  <si>
    <t xml:space="preserve">PreFront End Engineering Design </t>
  </si>
  <si>
    <t>FEED</t>
  </si>
  <si>
    <t>Engineering certification</t>
  </si>
  <si>
    <t>Site characterization</t>
  </si>
  <si>
    <t>Siting and scoping</t>
  </si>
  <si>
    <t>Studies and surveys</t>
  </si>
  <si>
    <t>Meteorological (met) station and installation</t>
  </si>
  <si>
    <t>Wind resource analysis</t>
  </si>
  <si>
    <t>Geotechnical and geophysical surveys</t>
  </si>
  <si>
    <t>Interconnection and power 
marketing</t>
  </si>
  <si>
    <t>Interconnection studies and fees</t>
  </si>
  <si>
    <t>Transmission rights of way</t>
  </si>
  <si>
    <t>Power marketing</t>
  </si>
  <si>
    <t>Project management during 
development</t>
  </si>
  <si>
    <t>Procurement</t>
  </si>
  <si>
    <t>Salaries</t>
  </si>
  <si>
    <t>Sales, general, and administrative</t>
  </si>
  <si>
    <t>Financing and incentives</t>
  </si>
  <si>
    <t xml:space="preserve">Due diligence </t>
  </si>
  <si>
    <t>Incentives</t>
  </si>
  <si>
    <t>Closing costs</t>
  </si>
  <si>
    <t>Legal support</t>
  </si>
  <si>
    <t>Detailed design and construction 
engineering</t>
  </si>
  <si>
    <t>Procurement management</t>
  </si>
  <si>
    <t>Construction management</t>
  </si>
  <si>
    <t>Project certification</t>
  </si>
  <si>
    <t>Health, safety, and environmental monitoring</t>
  </si>
  <si>
    <t>Array cable system</t>
  </si>
  <si>
    <t>Ancillary systems</t>
  </si>
  <si>
    <t>Transmission infrastructure</t>
  </si>
  <si>
    <t>Underground cable system</t>
  </si>
  <si>
    <t>Substations</t>
  </si>
  <si>
    <t>Roads</t>
  </si>
  <si>
    <t>Erection</t>
  </si>
  <si>
    <t>Commissioning</t>
  </si>
  <si>
    <t>Excavation</t>
  </si>
  <si>
    <t>Primary structure</t>
  </si>
  <si>
    <t>Batch plant</t>
  </si>
  <si>
    <t>Balance of System Costs (CA$M/turbine)</t>
  </si>
  <si>
    <t>Price Forecast Alberta</t>
  </si>
  <si>
    <t>Price Forecast Ontario</t>
  </si>
  <si>
    <t>Wind Technical Characteristics</t>
  </si>
  <si>
    <t>Rotor Diameter Projection</t>
  </si>
  <si>
    <t>2019 Cost of Wind Energy Review (nrel.gov)</t>
  </si>
  <si>
    <t>2018 Cost of Wind Energy Review (nrel.gov)</t>
  </si>
  <si>
    <t>2017 Cost of Wind Energy Review (nrel.gov)</t>
  </si>
  <si>
    <t>Expert elicitation survey predicts 37% to 49% declines in wind energy costs by 2050 | Nature Energy</t>
  </si>
  <si>
    <t>Wind Turbine Capacity</t>
  </si>
  <si>
    <t>Tower Height</t>
  </si>
  <si>
    <t>Hub Height (m)</t>
  </si>
  <si>
    <t>Turbine Capacity Interpolation (MW)</t>
  </si>
  <si>
    <t>Rotor Diameter Interpolation (m)</t>
  </si>
  <si>
    <t xml:space="preserve">Wind O&amp;M Costs </t>
  </si>
  <si>
    <t>Cost Estimates and Sources</t>
  </si>
  <si>
    <t>Benchmarking Wind Power Operating Costs in the United States</t>
  </si>
  <si>
    <t>Average Turbine O&amp;M Costs ($2022/kW-year)</t>
  </si>
  <si>
    <t>Average BOP O&amp;M Costs ($2022/kW-year)</t>
  </si>
  <si>
    <t>Average Other O&amp;M Costs ($2022/kW-year)</t>
  </si>
  <si>
    <t>Turbine O&amp;M Costs (2022$M/turbine-year)</t>
  </si>
  <si>
    <t>Average BOP O&amp;M Costs (2022$M/turbine-year)</t>
  </si>
  <si>
    <t>Average Other O&amp;M Costs (2022$M/turbine-year)</t>
  </si>
  <si>
    <t>Land-Based Wind | Electricity | 2022 | ATB | NREL</t>
  </si>
  <si>
    <t>Cost Decline</t>
  </si>
  <si>
    <t>How much money does a land owner get from a wind turbine? – Vidque.com</t>
  </si>
  <si>
    <t>Power Advisory LLC (aeso.ca)</t>
  </si>
  <si>
    <t>Property Tax Calculator | Middlesex Centre</t>
  </si>
  <si>
    <t>Wind is assessed at $40,000 per MW</t>
  </si>
  <si>
    <t xml:space="preserve">Wind Transportation Costs </t>
  </si>
  <si>
    <t>Wind_Turbine_Database_FGP.xlsx (live.com)</t>
  </si>
  <si>
    <t>Wind Turbine Manufacturer</t>
  </si>
  <si>
    <t>Project capacity</t>
  </si>
  <si>
    <t>%</t>
  </si>
  <si>
    <t>Enercon</t>
  </si>
  <si>
    <t>GE</t>
  </si>
  <si>
    <t>Siemens</t>
  </si>
  <si>
    <t>Vestas</t>
  </si>
  <si>
    <t>Colorado</t>
  </si>
  <si>
    <t>Gamesa</t>
  </si>
  <si>
    <t>Samsung Renewable Energy</t>
  </si>
  <si>
    <t>Senvion</t>
  </si>
  <si>
    <t>Location Finder I Siemens Gamesa</t>
  </si>
  <si>
    <t>Rotor Radius (m)</t>
  </si>
  <si>
    <t>Mass of Monolithic Blade (ton)</t>
  </si>
  <si>
    <t>Mass of Segmented Blade  (ton)</t>
  </si>
  <si>
    <t>Eastern Montana</t>
  </si>
  <si>
    <t>Central Michigan</t>
  </si>
  <si>
    <t>Distance</t>
  </si>
  <si>
    <t>Long-haul truck</t>
  </si>
  <si>
    <t>Average Cost $/mile</t>
  </si>
  <si>
    <t>Mass (ton)</t>
  </si>
  <si>
    <t>Average Cost $/mile-ton</t>
  </si>
  <si>
    <t>Alberta Distance (miles)</t>
  </si>
  <si>
    <t>Windsor, Colorado, USA to Calgary, AB - Google Maps</t>
  </si>
  <si>
    <t>Ontario Distance (miles)</t>
  </si>
  <si>
    <t>Fort Madison, IA, USA to Toronto, Ontario - Google Maps</t>
  </si>
  <si>
    <t>Mass of Segmented Blades (tons)</t>
  </si>
  <si>
    <t>Total Transportation Costs (Segmented Blades)</t>
  </si>
  <si>
    <t>Canada ($M/turbine)</t>
  </si>
  <si>
    <t>Alberta ($M/turbine)</t>
  </si>
  <si>
    <t>Ontario ($M/turbine)</t>
  </si>
  <si>
    <t>Canada Adder ($M/turbine)</t>
  </si>
  <si>
    <t>Alberta Adder ($M/turbine)</t>
  </si>
  <si>
    <t>Ontario Adder ($M/turbine)</t>
  </si>
  <si>
    <t>Wind Project Life</t>
  </si>
  <si>
    <t>wind_useful_life_report.pdf (lbl.gov)</t>
  </si>
  <si>
    <t>Alberta Escalation</t>
  </si>
  <si>
    <t>Ontario Escalation</t>
  </si>
  <si>
    <t>Canada Escalation</t>
  </si>
  <si>
    <t>Gas Peaker Inputs</t>
  </si>
  <si>
    <t>Recip Capital Cost ($/kW)</t>
  </si>
  <si>
    <t>NG Recip Cost Data for Draft 2021 Plan_web.xlsx | Powered by Box</t>
  </si>
  <si>
    <t xml:space="preserve"> US$$2016/kW</t>
  </si>
  <si>
    <t>Seventh Plan (Recip)</t>
  </si>
  <si>
    <t>2019 PGE 6x18MW Wartsila 18V50SG Recip</t>
  </si>
  <si>
    <t>2019 PGE 6x18MW Wartsila 18V50SG Recip - Low Est.</t>
  </si>
  <si>
    <t>2019 PGE 6x18MW Wartsila 18V50SG Recip - High Est.</t>
  </si>
  <si>
    <t>2019 PAC 6x18MW Wartsila 18V50SG Recip</t>
  </si>
  <si>
    <t>2019 PSE pre-IRP HDR 12x18MW Recip</t>
  </si>
  <si>
    <t>2019 PSE pre-IRP HDR 12x18MW Recip - Dual Fuel</t>
  </si>
  <si>
    <t>2019 Idaho Power 111MW generic Recip</t>
  </si>
  <si>
    <t>2019 Idaho Power 55.5 MW generic Recip</t>
  </si>
  <si>
    <t>2019 NorthWestern draft 2019 IRP 1x18MW Recip</t>
  </si>
  <si>
    <t>2019 NorthWestern draft 2019 IRP 1x9MW Recip</t>
  </si>
  <si>
    <t>2019 Avista draft 10x18MW Wartsila 18V50SG Recip</t>
  </si>
  <si>
    <t>2019 Avista draft 10x9MW Jenbacher 920 Recip</t>
  </si>
  <si>
    <t>Seventh Plan (Recip) US$$2022/kW</t>
  </si>
  <si>
    <t>CAD Prices</t>
  </si>
  <si>
    <t>Simple Cycle Gas Turbine</t>
  </si>
  <si>
    <t xml:space="preserve">NREL </t>
  </si>
  <si>
    <t>Fossil Energy Technologies | Electricity | 2022 | ATB | NREL</t>
  </si>
  <si>
    <t>Recip O&amp;M Cost ($/kW)</t>
  </si>
  <si>
    <t>Fixed OM ($2018/kW-yr)</t>
  </si>
  <si>
    <t>Variable OM ($2018/MWh)</t>
  </si>
  <si>
    <t>Fixed OM ($2022/kW-yr)</t>
  </si>
  <si>
    <t>Variable OM ($2022/MWh)</t>
  </si>
  <si>
    <t>Variable O&amp;M</t>
  </si>
  <si>
    <t>Recip Technical Characteristics</t>
  </si>
  <si>
    <t>Design Life</t>
  </si>
  <si>
    <t>Thermla Heat Rate (Btu/kWh)</t>
  </si>
  <si>
    <t>Average Heat Rate (Btu/kWh)</t>
  </si>
  <si>
    <t>Fuel Cost Projections</t>
  </si>
  <si>
    <t xml:space="preserve">https://www.ieso.ca/-/media/Files/IESO/Document-Library/planning-forecasts/apo/Dec2022/Fuel-Cost.ashx </t>
  </si>
  <si>
    <t>NG Fuel Costs ($/MMBtu)</t>
  </si>
  <si>
    <t>NG Fuel Costs ($/MWh)</t>
  </si>
  <si>
    <t>Carbon Tax Projections</t>
  </si>
  <si>
    <t>Carbon Emission Lbs/MMBtu</t>
  </si>
  <si>
    <t>Carbon Emission Lbs/MWh</t>
  </si>
  <si>
    <t>Carbon Emission ton/MWh</t>
  </si>
  <si>
    <t>Carbon Tax ($/Ton)</t>
  </si>
  <si>
    <t>Levelized Carbon Tax ($/Ton)</t>
  </si>
  <si>
    <t>CCCT Capital Cost ($/kW)</t>
  </si>
  <si>
    <t>NB Powe Large Combined Cycle</t>
  </si>
  <si>
    <t>CCCT O&amp;M Cost ($/kW)</t>
  </si>
  <si>
    <t>CCCT Technical Characteristics</t>
  </si>
  <si>
    <t>Section 3</t>
  </si>
  <si>
    <t>Lookup</t>
  </si>
  <si>
    <t>Jurisdictional Inputs</t>
  </si>
  <si>
    <t>Consumter Price Index</t>
  </si>
  <si>
    <t>USD to CAD</t>
  </si>
  <si>
    <t>Locational Inputs</t>
  </si>
  <si>
    <t>Sales Tax</t>
  </si>
  <si>
    <t>Land Lease Costs</t>
  </si>
  <si>
    <t>ITC Inputs</t>
  </si>
  <si>
    <t>Equipment</t>
  </si>
  <si>
    <t>Balance of System</t>
  </si>
  <si>
    <t>This work is licensed under the Creative Commons Attribution 4.0 International License. To view a copy of this license, visit http://creativecommons.org/licenses/by/4.0/ or send a letter to Creative Commons, PO Box 1866, Mountain View, CA 94042, USA.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</si>
</sst>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quot;$&quot;#,##0;[Red]\-&quot;$&quot;#,##0"/>
    <numFmt numFmtId="165" formatCode="&quot;$&quot;#,##0.00;[Red]\-&quot;$&quot;#,##0.00"/>
    <numFmt numFmtId="166" formatCode="_-&quot;$&quot;* #,##0.00_-;\-&quot;$&quot;* #,##0.00_-;_-&quot;$&quot;* &quot;-&quot;??_-;_-@_-"/>
    <numFmt numFmtId="167" formatCode="_-* #,##0.00_-;\-* #,##0.00_-;_-* &quot;-&quot;??_-;_-@_-"/>
    <numFmt numFmtId="168" formatCode="0.000"/>
    <numFmt numFmtId="169" formatCode="&quot;$&quot;#,##0.00"/>
    <numFmt numFmtId="170" formatCode="&quot;$&quot;#,##0"/>
    <numFmt numFmtId="171" formatCode="&quot;$&quot;#,##0.0"/>
    <numFmt numFmtId="172" formatCode="0.0%"/>
    <numFmt numFmtId="173" formatCode="0.0"/>
    <numFmt numFmtId="174" formatCode="0.000000"/>
    <numFmt numFmtId="175" formatCode="_-&quot;$&quot;* #,##0.0_-;\-&quot;$&quot;* #,##0.0_-;_-&quot;$&quot;* &quot;-&quot;??_-;_-@_-"/>
    <numFmt numFmtId="176" formatCode="_-&quot;$&quot;* #,##0_-;\-&quot;$&quot;* #,##0_-;_-&quot;$&quot;* &quot;-&quot;??_-;_-@_-"/>
    <numFmt numFmtId="177" formatCode="_-&quot;$&quot;* #,##0.000_-;\-&quot;$&quot;* #,##0.000_-;_-&quot;$&quot;* &quot;-&quot;??_-;_-@_-"/>
    <numFmt numFmtId="178" formatCode="_-* #,##0_-;\-* #,##0_-;_-* &quot;-&quot;??_-;_-@_-"/>
    <numFmt numFmtId="179" formatCode="&quot;$&quot;#,##0.00000;[Red]\-&quot;$&quot;#,##0.00000"/>
    <numFmt numFmtId="180" formatCode="_-&quot;$&quot;* #,##0.0000_-;\-&quot;$&quot;* #,##0.0000_-;_-&quot;$&quot;* &quot;-&quot;??_-;_-@_-"/>
  </numFmts>
  <fonts count="68" x14ac:knownFonts="1">
    <font>
      <sz val="11"/>
      <color theme="1"/>
      <name val="Calibri"/>
      <family val="2"/>
      <scheme val="minor"/>
    </font>
    <font>
      <b/>
      <sz val="11"/>
      <color theme="1"/>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b/>
      <sz val="10"/>
      <color theme="1"/>
      <name val="Calibri"/>
      <family val="2"/>
      <scheme val="minor"/>
    </font>
    <font>
      <b/>
      <u/>
      <sz val="11"/>
      <color rgb="FF993366"/>
      <name val="Calibri"/>
      <family val="2"/>
      <scheme val="minor"/>
    </font>
    <font>
      <b/>
      <sz val="16"/>
      <color rgb="FF003766"/>
      <name val="Calibri"/>
      <family val="2"/>
      <scheme val="minor"/>
    </font>
    <font>
      <b/>
      <sz val="14"/>
      <color rgb="FF003766"/>
      <name val="Calibri"/>
      <family val="2"/>
      <scheme val="minor"/>
    </font>
    <font>
      <u/>
      <sz val="11"/>
      <color theme="10"/>
      <name val="Calibri"/>
      <family val="2"/>
      <scheme val="minor"/>
    </font>
    <font>
      <b/>
      <sz val="10"/>
      <color rgb="FF003766"/>
      <name val="Calibri"/>
      <family val="2"/>
      <scheme val="minor"/>
    </font>
    <font>
      <b/>
      <sz val="14"/>
      <color rgb="FF000000"/>
      <name val="Calibri"/>
      <family val="2"/>
      <scheme val="minor"/>
    </font>
    <font>
      <b/>
      <sz val="16"/>
      <color rgb="FF0069B5"/>
      <name val="Calibri"/>
      <family val="2"/>
      <scheme val="minor"/>
    </font>
    <font>
      <sz val="11"/>
      <color theme="1"/>
      <name val="Calibri"/>
      <family val="2"/>
      <scheme val="minor"/>
    </font>
    <font>
      <sz val="8"/>
      <name val="Calibri"/>
      <family val="2"/>
      <scheme val="minor"/>
    </font>
    <font>
      <b/>
      <sz val="12"/>
      <color rgb="FF003766"/>
      <name val="Calibri"/>
      <family val="2"/>
      <scheme val="minor"/>
    </font>
    <font>
      <sz val="10"/>
      <color rgb="FF000000"/>
      <name val="Arial"/>
      <family val="2"/>
    </font>
    <font>
      <i/>
      <sz val="10"/>
      <color theme="1"/>
      <name val="Calibri"/>
      <family val="2"/>
      <scheme val="minor"/>
    </font>
    <font>
      <sz val="10"/>
      <color theme="1"/>
      <name val="Calibri"/>
      <family val="2"/>
      <scheme val="minor"/>
    </font>
    <font>
      <sz val="8"/>
      <color theme="1"/>
      <name val="Calibri"/>
      <family val="2"/>
      <scheme val="minor"/>
    </font>
    <font>
      <sz val="8"/>
      <color theme="1"/>
      <name val="Arial Nova"/>
      <family val="2"/>
    </font>
    <font>
      <i/>
      <sz val="10"/>
      <color theme="9" tint="-0.499984740745262"/>
      <name val="Calibri"/>
      <family val="2"/>
      <scheme val="minor"/>
    </font>
    <font>
      <i/>
      <sz val="10"/>
      <color theme="4" tint="-0.499984740745262"/>
      <name val="Calibri"/>
      <family val="2"/>
      <scheme val="minor"/>
    </font>
    <font>
      <i/>
      <sz val="10"/>
      <color theme="2" tint="-0.249977111117893"/>
      <name val="Calibri"/>
      <family val="2"/>
      <scheme val="minor"/>
    </font>
    <font>
      <b/>
      <sz val="10"/>
      <color theme="4" tint="-0.499984740745262"/>
      <name val="Calibri"/>
      <family val="2"/>
      <scheme val="minor"/>
    </font>
    <font>
      <sz val="10"/>
      <name val="Arial"/>
      <family val="2"/>
    </font>
    <font>
      <sz val="10"/>
      <name val="Arial"/>
      <family val="2"/>
    </font>
    <font>
      <sz val="12"/>
      <color theme="1"/>
      <name val="Calibri"/>
      <family val="2"/>
      <scheme val="minor"/>
    </font>
    <font>
      <sz val="11"/>
      <name val="Calibri"/>
      <family val="2"/>
    </font>
    <font>
      <u/>
      <sz val="10"/>
      <color theme="10"/>
      <name val="Arial"/>
      <family val="2"/>
    </font>
    <font>
      <sz val="9"/>
      <color theme="1"/>
      <name val="Calibri"/>
      <family val="2"/>
      <scheme val="minor"/>
    </font>
    <font>
      <b/>
      <sz val="9"/>
      <color theme="1"/>
      <name val="Calibri"/>
      <family val="2"/>
      <scheme val="minor"/>
    </font>
    <font>
      <sz val="9"/>
      <color theme="2" tint="-0.499984740745262"/>
      <name val="Calibri"/>
      <family val="2"/>
      <scheme val="minor"/>
    </font>
    <font>
      <b/>
      <u/>
      <sz val="10"/>
      <color rgb="FF993366"/>
      <name val="Calibri"/>
      <family val="2"/>
      <scheme val="minor"/>
    </font>
    <font>
      <b/>
      <i/>
      <sz val="10"/>
      <color theme="1"/>
      <name val="Calibri"/>
      <family val="2"/>
      <scheme val="minor"/>
    </font>
    <font>
      <u/>
      <sz val="10"/>
      <color theme="10"/>
      <name val="Calibri"/>
      <family val="2"/>
      <scheme val="minor"/>
    </font>
    <font>
      <sz val="10"/>
      <color theme="2" tint="-9.9978637043366805E-2"/>
      <name val="Calibri"/>
      <family val="2"/>
      <scheme val="minor"/>
    </font>
    <font>
      <sz val="10"/>
      <name val="Calibri"/>
      <family val="2"/>
      <scheme val="minor"/>
    </font>
    <font>
      <sz val="10"/>
      <color theme="0" tint="-0.34998626667073579"/>
      <name val="Calibri"/>
      <family val="2"/>
      <scheme val="minor"/>
    </font>
    <font>
      <b/>
      <sz val="12"/>
      <color rgb="FF0070C0"/>
      <name val="Calibri"/>
      <family val="2"/>
      <scheme val="minor"/>
    </font>
    <font>
      <b/>
      <sz val="11"/>
      <color rgb="FF0070C0"/>
      <name val="Calibri"/>
      <family val="2"/>
      <scheme val="minor"/>
    </font>
    <font>
      <b/>
      <sz val="10"/>
      <color rgb="FF0070C0"/>
      <name val="Calibri"/>
      <family val="2"/>
      <scheme val="minor"/>
    </font>
    <font>
      <sz val="11"/>
      <color rgb="FF0070C0"/>
      <name val="Calibri"/>
      <family val="2"/>
      <scheme val="minor"/>
    </font>
    <font>
      <sz val="10"/>
      <color rgb="FF0070C0"/>
      <name val="Calibri"/>
      <family val="2"/>
      <scheme val="minor"/>
    </font>
    <font>
      <b/>
      <i/>
      <sz val="10"/>
      <color rgb="FF0070C0"/>
      <name val="Calibri"/>
      <family val="2"/>
      <scheme val="minor"/>
    </font>
    <font>
      <b/>
      <u/>
      <sz val="10"/>
      <color rgb="FF0070C0"/>
      <name val="Calibri"/>
      <family val="2"/>
      <scheme val="minor"/>
    </font>
    <font>
      <sz val="10"/>
      <color rgb="FFFF0000"/>
      <name val="Calibri"/>
      <family val="2"/>
      <scheme val="minor"/>
    </font>
    <font>
      <i/>
      <sz val="10"/>
      <color theme="1" tint="0.499984740745262"/>
      <name val="Calibri"/>
      <family val="2"/>
      <scheme val="minor"/>
    </font>
    <font>
      <sz val="10"/>
      <color theme="1" tint="0.499984740745262"/>
      <name val="Calibri"/>
      <family val="2"/>
      <scheme val="minor"/>
    </font>
    <font>
      <b/>
      <sz val="10"/>
      <color theme="4"/>
      <name val="Calibri"/>
      <family val="2"/>
      <scheme val="minor"/>
    </font>
    <font>
      <sz val="8"/>
      <color theme="4"/>
      <name val="Calibri"/>
      <family val="2"/>
      <scheme val="minor"/>
    </font>
    <font>
      <i/>
      <sz val="10"/>
      <name val="Calibri"/>
      <family val="2"/>
      <scheme val="minor"/>
    </font>
    <font>
      <b/>
      <sz val="10"/>
      <name val="Calibri"/>
      <family val="2"/>
      <scheme val="minor"/>
    </font>
    <font>
      <b/>
      <sz val="11"/>
      <name val="Calibri"/>
      <family val="2"/>
      <scheme val="minor"/>
    </font>
    <font>
      <sz val="11"/>
      <name val="Calibri"/>
      <family val="2"/>
      <scheme val="minor"/>
    </font>
    <font>
      <b/>
      <u/>
      <sz val="11"/>
      <color rgb="FF000000"/>
      <name val="Calibri"/>
      <family val="2"/>
      <scheme val="minor"/>
    </font>
    <font>
      <b/>
      <i/>
      <sz val="10"/>
      <color theme="4" tint="-0.499984740745262"/>
      <name val="Calibri"/>
      <family val="2"/>
      <scheme val="minor"/>
    </font>
    <font>
      <i/>
      <sz val="11"/>
      <color theme="1"/>
      <name val="Calibri"/>
      <family val="2"/>
      <scheme val="minor"/>
    </font>
    <font>
      <b/>
      <i/>
      <sz val="10"/>
      <color rgb="FF002060"/>
      <name val="Calibri"/>
      <family val="2"/>
      <scheme val="minor"/>
    </font>
    <font>
      <b/>
      <sz val="10"/>
      <color rgb="FF002060"/>
      <name val="Calibri"/>
      <family val="2"/>
      <scheme val="minor"/>
    </font>
    <font>
      <sz val="10"/>
      <color theme="2" tint="-0.499984740745262"/>
      <name val="Calibri"/>
      <family val="2"/>
      <scheme val="minor"/>
    </font>
    <font>
      <u/>
      <sz val="8"/>
      <color theme="10"/>
      <name val="Calibri"/>
      <family val="2"/>
      <scheme val="minor"/>
    </font>
    <font>
      <b/>
      <sz val="9"/>
      <color rgb="FF0070C0"/>
      <name val="Calibri"/>
      <family val="2"/>
      <scheme val="minor"/>
    </font>
    <font>
      <u/>
      <sz val="9"/>
      <color theme="10"/>
      <name val="Calibri"/>
      <family val="2"/>
      <scheme val="minor"/>
    </font>
    <font>
      <sz val="10"/>
      <color theme="6" tint="-0.249977111117893"/>
      <name val="Calibri"/>
      <family val="2"/>
      <scheme val="minor"/>
    </font>
    <font>
      <sz val="11"/>
      <color rgb="FF3F3F76"/>
      <name val="Calibri"/>
      <family val="2"/>
      <scheme val="minor"/>
    </font>
    <font>
      <sz val="8"/>
      <color rgb="FF002060"/>
      <name val="Calibri"/>
      <family val="2"/>
      <scheme val="minor"/>
    </font>
    <font>
      <sz val="10"/>
      <color rgb="FF3F3F76"/>
      <name val="Calibri"/>
      <family val="2"/>
      <scheme val="minor"/>
    </font>
  </fonts>
  <fills count="9">
    <fill>
      <patternFill patternType="none"/>
    </fill>
    <fill>
      <patternFill patternType="gray125"/>
    </fill>
    <fill>
      <patternFill patternType="solid">
        <fgColor rgb="FFEFF3FF"/>
        <bgColor indexed="64"/>
      </patternFill>
    </fill>
    <fill>
      <patternFill patternType="solid">
        <fgColor rgb="FFFFFFCC"/>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C0C0C0"/>
        <bgColor indexed="64"/>
      </patternFill>
    </fill>
    <fill>
      <patternFill patternType="solid">
        <fgColor rgb="FFFFCC99"/>
      </patternFill>
    </fill>
    <fill>
      <patternFill patternType="solid">
        <fgColor theme="0"/>
        <bgColor indexed="64"/>
      </patternFill>
    </fill>
  </fills>
  <borders count="3">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s>
  <cellStyleXfs count="59">
    <xf numFmtId="0" fontId="0" fillId="0" borderId="0"/>
    <xf numFmtId="0" fontId="2" fillId="0" borderId="0" applyNumberFormat="0" applyFill="0" applyBorder="0" applyAlignment="0"/>
    <xf numFmtId="0" fontId="3" fillId="0" borderId="0" applyNumberFormat="0" applyFill="0" applyBorder="0" applyAlignment="0"/>
    <xf numFmtId="0" fontId="4" fillId="0" borderId="0" applyNumberFormat="0" applyFill="0" applyBorder="0" applyAlignment="0"/>
    <xf numFmtId="0" fontId="1" fillId="0" borderId="0" applyNumberFormat="0" applyFill="0" applyBorder="0" applyAlignment="0"/>
    <xf numFmtId="0" fontId="5" fillId="0" borderId="0" applyNumberFormat="0" applyFill="0" applyBorder="0" applyAlignment="0"/>
    <xf numFmtId="0" fontId="6" fillId="0" borderId="0" applyNumberFormat="0" applyFill="0" applyBorder="0" applyAlignment="0"/>
    <xf numFmtId="0" fontId="9" fillId="0" borderId="0" applyNumberFormat="0" applyFill="0" applyBorder="0" applyAlignment="0" applyProtection="0"/>
    <xf numFmtId="9" fontId="13" fillId="0" borderId="0" applyFont="0" applyFill="0" applyBorder="0" applyAlignment="0" applyProtection="0"/>
    <xf numFmtId="166" fontId="13" fillId="0" borderId="0" applyFont="0" applyFill="0" applyBorder="0" applyAlignment="0" applyProtection="0"/>
    <xf numFmtId="0" fontId="25" fillId="0" borderId="0"/>
    <xf numFmtId="167" fontId="26" fillId="0" borderId="0" applyFont="0" applyFill="0" applyBorder="0" applyAlignment="0" applyProtection="0"/>
    <xf numFmtId="166" fontId="26" fillId="0" borderId="0" applyFont="0" applyFill="0" applyBorder="0" applyAlignment="0" applyProtection="0"/>
    <xf numFmtId="0" fontId="26" fillId="0" borderId="0"/>
    <xf numFmtId="0" fontId="13" fillId="0" borderId="0"/>
    <xf numFmtId="0" fontId="26" fillId="0" borderId="0"/>
    <xf numFmtId="0" fontId="27" fillId="0" borderId="0"/>
    <xf numFmtId="0" fontId="26" fillId="0" borderId="0"/>
    <xf numFmtId="9" fontId="26" fillId="0" borderId="0" applyFont="0" applyFill="0" applyBorder="0" applyAlignment="0" applyProtection="0"/>
    <xf numFmtId="9" fontId="13" fillId="0" borderId="0" applyFont="0" applyFill="0" applyBorder="0" applyAlignment="0" applyProtection="0"/>
    <xf numFmtId="174" fontId="26" fillId="0" borderId="0">
      <alignment horizontal="left" wrapText="1"/>
    </xf>
    <xf numFmtId="9" fontId="26" fillId="0" borderId="0" applyFont="0" applyFill="0" applyBorder="0" applyAlignment="0" applyProtection="0"/>
    <xf numFmtId="9" fontId="26" fillId="0" borderId="0" applyFont="0" applyFill="0" applyBorder="0" applyAlignment="0" applyProtection="0"/>
    <xf numFmtId="0" fontId="26" fillId="0" borderId="0"/>
    <xf numFmtId="0" fontId="13" fillId="0" borderId="0"/>
    <xf numFmtId="0" fontId="13" fillId="0" borderId="0"/>
    <xf numFmtId="9" fontId="13" fillId="0" borderId="0" applyFont="0" applyFill="0" applyBorder="0" applyAlignment="0" applyProtection="0"/>
    <xf numFmtId="167" fontId="26" fillId="0" borderId="0" applyFont="0" applyFill="0" applyBorder="0" applyAlignment="0" applyProtection="0"/>
    <xf numFmtId="0" fontId="28" fillId="0" borderId="0"/>
    <xf numFmtId="0" fontId="13" fillId="0" borderId="0"/>
    <xf numFmtId="166" fontId="26" fillId="0" borderId="0" applyFont="0" applyFill="0" applyBorder="0" applyAlignment="0" applyProtection="0"/>
    <xf numFmtId="0" fontId="13" fillId="0" borderId="0"/>
    <xf numFmtId="9" fontId="26" fillId="0" borderId="0" applyFont="0" applyFill="0" applyBorder="0" applyAlignment="0" applyProtection="0"/>
    <xf numFmtId="9" fontId="13" fillId="0" borderId="0" applyFont="0" applyFill="0" applyBorder="0" applyAlignment="0" applyProtection="0"/>
    <xf numFmtId="174" fontId="26" fillId="0" borderId="0">
      <alignment horizontal="left" wrapText="1"/>
    </xf>
    <xf numFmtId="0" fontId="29" fillId="0" borderId="0" applyNumberFormat="0" applyFill="0" applyBorder="0" applyAlignment="0" applyProtection="0"/>
    <xf numFmtId="0" fontId="13" fillId="0" borderId="0"/>
    <xf numFmtId="0" fontId="9" fillId="0" borderId="0" applyNumberFormat="0" applyFill="0" applyBorder="0" applyAlignment="0" applyProtection="0"/>
    <xf numFmtId="0" fontId="13" fillId="0" borderId="0"/>
    <xf numFmtId="9" fontId="13" fillId="0" borderId="0" applyFont="0" applyFill="0" applyBorder="0" applyAlignment="0" applyProtection="0"/>
    <xf numFmtId="0" fontId="13" fillId="0" borderId="0"/>
    <xf numFmtId="0" fontId="13" fillId="0" borderId="0"/>
    <xf numFmtId="9" fontId="13" fillId="0" borderId="0" applyFont="0" applyFill="0" applyBorder="0" applyAlignment="0" applyProtection="0"/>
    <xf numFmtId="9" fontId="13" fillId="0" borderId="0" applyFont="0" applyFill="0" applyBorder="0" applyAlignment="0" applyProtection="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167" fontId="27" fillId="0" borderId="0" applyFont="0" applyFill="0" applyBorder="0" applyAlignment="0" applyProtection="0"/>
    <xf numFmtId="0" fontId="13" fillId="0" borderId="0"/>
    <xf numFmtId="0" fontId="13" fillId="0" borderId="0"/>
    <xf numFmtId="9" fontId="13" fillId="0" borderId="0" applyFont="0" applyFill="0" applyBorder="0" applyAlignment="0" applyProtection="0"/>
    <xf numFmtId="0" fontId="13" fillId="0" borderId="0"/>
    <xf numFmtId="0" fontId="13" fillId="0" borderId="0"/>
    <xf numFmtId="9" fontId="13" fillId="0" borderId="0" applyFont="0" applyFill="0" applyBorder="0" applyAlignment="0" applyProtection="0"/>
    <xf numFmtId="0" fontId="13" fillId="0" borderId="0"/>
    <xf numFmtId="167" fontId="13" fillId="0" borderId="0" applyFont="0" applyFill="0" applyBorder="0" applyAlignment="0" applyProtection="0"/>
    <xf numFmtId="0" fontId="65" fillId="7" borderId="1" applyNumberFormat="0" applyAlignment="0" applyProtection="0"/>
  </cellStyleXfs>
  <cellXfs count="335">
    <xf numFmtId="0" fontId="0" fillId="0" borderId="0" xfId="0"/>
    <xf numFmtId="0" fontId="3" fillId="0" borderId="0" xfId="2"/>
    <xf numFmtId="0" fontId="5" fillId="0" borderId="0" xfId="5"/>
    <xf numFmtId="0" fontId="4" fillId="0" borderId="0" xfId="3"/>
    <xf numFmtId="0" fontId="1" fillId="0" borderId="0" xfId="4"/>
    <xf numFmtId="0" fontId="12" fillId="0" borderId="0" xfId="1" applyFont="1"/>
    <xf numFmtId="0" fontId="0" fillId="0" borderId="0" xfId="0" applyAlignment="1">
      <alignment horizontal="center"/>
    </xf>
    <xf numFmtId="0" fontId="9" fillId="0" borderId="0" xfId="7"/>
    <xf numFmtId="0" fontId="1" fillId="0" borderId="0" xfId="0" applyFont="1" applyAlignment="1">
      <alignment horizontal="center"/>
    </xf>
    <xf numFmtId="0" fontId="0" fillId="0" borderId="0" xfId="0" applyAlignment="1">
      <alignment vertical="center"/>
    </xf>
    <xf numFmtId="0" fontId="1" fillId="0" borderId="0" xfId="0" applyFont="1" applyAlignment="1">
      <alignment horizontal="center" vertical="center"/>
    </xf>
    <xf numFmtId="0" fontId="17" fillId="0" borderId="0" xfId="0" applyFont="1" applyAlignment="1">
      <alignment horizontal="left" vertical="top"/>
    </xf>
    <xf numFmtId="0" fontId="20" fillId="0" borderId="0" xfId="0" quotePrefix="1" applyFont="1" applyAlignment="1">
      <alignment horizontal="center" vertical="center"/>
    </xf>
    <xf numFmtId="0" fontId="19" fillId="0" borderId="0" xfId="0" applyFont="1"/>
    <xf numFmtId="0" fontId="17" fillId="0" borderId="0" xfId="0" applyFont="1" applyAlignment="1">
      <alignment horizontal="left" vertical="center"/>
    </xf>
    <xf numFmtId="0" fontId="21" fillId="0" borderId="0" xfId="0" applyFont="1" applyAlignment="1">
      <alignment horizontal="left" vertical="center" indent="2"/>
    </xf>
    <xf numFmtId="0" fontId="23" fillId="0" borderId="0" xfId="0" applyFont="1" applyAlignment="1">
      <alignment horizontal="left" vertical="center" indent="2"/>
    </xf>
    <xf numFmtId="0" fontId="23" fillId="0" borderId="0" xfId="0" applyFont="1" applyAlignment="1">
      <alignment horizontal="left" vertical="top" indent="2"/>
    </xf>
    <xf numFmtId="0" fontId="22" fillId="0" borderId="0" xfId="0" applyFont="1" applyAlignment="1">
      <alignment horizontal="left" vertical="center"/>
    </xf>
    <xf numFmtId="0" fontId="5" fillId="0" borderId="0" xfId="0" applyFont="1" applyAlignment="1">
      <alignment vertical="center"/>
    </xf>
    <xf numFmtId="0" fontId="17" fillId="0" borderId="0" xfId="0" applyFont="1" applyAlignment="1">
      <alignment horizontal="right" vertical="center"/>
    </xf>
    <xf numFmtId="0" fontId="18" fillId="0" borderId="0" xfId="0" applyFont="1" applyAlignment="1">
      <alignment vertical="center"/>
    </xf>
    <xf numFmtId="0" fontId="5" fillId="0" borderId="0" xfId="0" applyFont="1" applyAlignment="1">
      <alignment horizontal="center" vertical="center"/>
    </xf>
    <xf numFmtId="0" fontId="18" fillId="0" borderId="0" xfId="0" applyFont="1" applyAlignment="1">
      <alignment horizontal="center" vertical="center"/>
    </xf>
    <xf numFmtId="1" fontId="18" fillId="0" borderId="0" xfId="0" applyNumberFormat="1" applyFont="1" applyAlignment="1">
      <alignment horizontal="center" vertical="center"/>
    </xf>
    <xf numFmtId="1" fontId="18" fillId="0" borderId="0" xfId="8" applyNumberFormat="1" applyFont="1" applyAlignment="1">
      <alignment horizontal="center" vertical="center"/>
    </xf>
    <xf numFmtId="169" fontId="18" fillId="0" borderId="0" xfId="0" applyNumberFormat="1" applyFont="1" applyAlignment="1">
      <alignment horizontal="center" vertical="center"/>
    </xf>
    <xf numFmtId="2" fontId="18" fillId="0" borderId="0" xfId="0" applyNumberFormat="1" applyFont="1" applyAlignment="1">
      <alignment horizontal="center" vertical="center"/>
    </xf>
    <xf numFmtId="171" fontId="18" fillId="0" borderId="0" xfId="0" applyNumberFormat="1" applyFont="1" applyAlignment="1">
      <alignment horizontal="center" vertical="center"/>
    </xf>
    <xf numFmtId="169" fontId="18" fillId="0" borderId="0" xfId="0" applyNumberFormat="1" applyFont="1" applyAlignment="1">
      <alignment vertical="center"/>
    </xf>
    <xf numFmtId="0" fontId="24" fillId="0" borderId="0" xfId="0" applyFont="1" applyAlignment="1">
      <alignment vertical="center"/>
    </xf>
    <xf numFmtId="171" fontId="24" fillId="0" borderId="0" xfId="0" applyNumberFormat="1" applyFont="1" applyAlignment="1">
      <alignment horizontal="center" vertical="center"/>
    </xf>
    <xf numFmtId="0" fontId="18" fillId="0" borderId="0" xfId="0" applyFont="1"/>
    <xf numFmtId="0" fontId="18" fillId="0" borderId="0" xfId="0" applyFont="1" applyAlignment="1">
      <alignment horizontal="center"/>
    </xf>
    <xf numFmtId="0" fontId="18" fillId="0" borderId="0" xfId="0" applyFont="1" applyAlignment="1">
      <alignment horizontal="right" vertical="center"/>
    </xf>
    <xf numFmtId="9" fontId="18" fillId="0" borderId="0" xfId="8" applyFont="1" applyAlignment="1">
      <alignment horizontal="center" vertical="center"/>
    </xf>
    <xf numFmtId="169" fontId="18" fillId="0" borderId="0" xfId="9" applyNumberFormat="1" applyFont="1" applyAlignment="1">
      <alignment horizontal="center" vertical="center"/>
    </xf>
    <xf numFmtId="0" fontId="18" fillId="0" borderId="0" xfId="0" applyFont="1" applyAlignment="1">
      <alignment horizontal="right"/>
    </xf>
    <xf numFmtId="10" fontId="18" fillId="0" borderId="0" xfId="0" applyNumberFormat="1" applyFont="1" applyAlignment="1">
      <alignment horizontal="center" vertical="center"/>
    </xf>
    <xf numFmtId="0" fontId="18" fillId="0" borderId="0" xfId="0" applyFont="1" applyAlignment="1">
      <alignment horizontal="left"/>
    </xf>
    <xf numFmtId="0" fontId="18" fillId="0" borderId="0" xfId="0" applyFont="1" applyAlignment="1">
      <alignment horizontal="left" vertical="center"/>
    </xf>
    <xf numFmtId="9" fontId="18" fillId="0" borderId="0" xfId="0" applyNumberFormat="1" applyFont="1" applyAlignment="1">
      <alignment horizontal="center" vertical="center"/>
    </xf>
    <xf numFmtId="172" fontId="18" fillId="0" borderId="0" xfId="8" applyNumberFormat="1" applyFont="1" applyAlignment="1">
      <alignment horizontal="center" vertical="center"/>
    </xf>
    <xf numFmtId="169" fontId="5" fillId="0" borderId="0" xfId="0" applyNumberFormat="1" applyFont="1" applyAlignment="1">
      <alignment horizontal="center"/>
    </xf>
    <xf numFmtId="3" fontId="18" fillId="0" borderId="0" xfId="0" applyNumberFormat="1" applyFont="1" applyAlignment="1">
      <alignment horizontal="center"/>
    </xf>
    <xf numFmtId="0" fontId="30" fillId="0" borderId="0" xfId="0" applyFont="1"/>
    <xf numFmtId="9" fontId="18" fillId="0" borderId="0" xfId="8" applyFont="1" applyAlignment="1">
      <alignment horizontal="center"/>
    </xf>
    <xf numFmtId="169" fontId="18" fillId="0" borderId="0" xfId="9" applyNumberFormat="1" applyFont="1" applyAlignment="1">
      <alignment horizontal="center"/>
    </xf>
    <xf numFmtId="0" fontId="5" fillId="0" borderId="0" xfId="0" applyFont="1" applyAlignment="1">
      <alignment horizontal="center"/>
    </xf>
    <xf numFmtId="0" fontId="31" fillId="0" borderId="0" xfId="0" applyFont="1" applyAlignment="1">
      <alignment horizontal="center" vertical="center"/>
    </xf>
    <xf numFmtId="0" fontId="31" fillId="0" borderId="0" xfId="0" applyFont="1" applyAlignment="1">
      <alignment horizontal="center"/>
    </xf>
    <xf numFmtId="0" fontId="32" fillId="0" borderId="0" xfId="0" applyFont="1" applyAlignment="1">
      <alignment vertical="center"/>
    </xf>
    <xf numFmtId="0" fontId="5" fillId="0" borderId="0" xfId="0" applyFont="1"/>
    <xf numFmtId="170" fontId="18" fillId="0" borderId="0" xfId="0" applyNumberFormat="1" applyFont="1" applyAlignment="1">
      <alignment horizontal="center"/>
    </xf>
    <xf numFmtId="2" fontId="18" fillId="0" borderId="0" xfId="8" applyNumberFormat="1" applyFont="1" applyAlignment="1">
      <alignment horizontal="center" vertical="center"/>
    </xf>
    <xf numFmtId="165" fontId="18" fillId="0" borderId="0" xfId="0" applyNumberFormat="1" applyFont="1"/>
    <xf numFmtId="0" fontId="33" fillId="0" borderId="0" xfId="6" applyFont="1"/>
    <xf numFmtId="0" fontId="34" fillId="0" borderId="0" xfId="0" applyFont="1" applyAlignment="1">
      <alignment horizontal="left"/>
    </xf>
    <xf numFmtId="0" fontId="35" fillId="0" borderId="0" xfId="7" applyFont="1"/>
    <xf numFmtId="1" fontId="18" fillId="0" borderId="0" xfId="0" applyNumberFormat="1" applyFont="1"/>
    <xf numFmtId="0" fontId="5" fillId="0" borderId="0" xfId="0" applyFont="1" applyAlignment="1">
      <alignment horizontal="left"/>
    </xf>
    <xf numFmtId="9" fontId="18" fillId="0" borderId="0" xfId="0" applyNumberFormat="1" applyFont="1" applyAlignment="1">
      <alignment horizontal="center"/>
    </xf>
    <xf numFmtId="0" fontId="33" fillId="0" borderId="0" xfId="6" applyFont="1" applyFill="1"/>
    <xf numFmtId="0" fontId="4" fillId="0" borderId="0" xfId="3" applyFill="1"/>
    <xf numFmtId="0" fontId="1" fillId="0" borderId="0" xfId="4" applyFill="1"/>
    <xf numFmtId="0" fontId="5" fillId="0" borderId="0" xfId="5" applyFill="1"/>
    <xf numFmtId="0" fontId="39" fillId="0" borderId="0" xfId="3" applyFont="1" applyFill="1"/>
    <xf numFmtId="0" fontId="40" fillId="0" borderId="0" xfId="4" applyFont="1" applyFill="1"/>
    <xf numFmtId="0" fontId="41" fillId="0" borderId="0" xfId="5" applyFont="1" applyFill="1"/>
    <xf numFmtId="0" fontId="42" fillId="0" borderId="0" xfId="0" applyFont="1"/>
    <xf numFmtId="0" fontId="43" fillId="0" borderId="0" xfId="0" applyFont="1"/>
    <xf numFmtId="0" fontId="44" fillId="0" borderId="0" xfId="0" applyFont="1" applyAlignment="1">
      <alignment horizontal="left"/>
    </xf>
    <xf numFmtId="0" fontId="41" fillId="0" borderId="0" xfId="0" applyFont="1"/>
    <xf numFmtId="0" fontId="35" fillId="0" borderId="0" xfId="7" applyFont="1" applyFill="1"/>
    <xf numFmtId="1" fontId="18" fillId="0" borderId="0" xfId="0" applyNumberFormat="1" applyFont="1" applyAlignment="1">
      <alignment horizontal="left" vertical="center"/>
    </xf>
    <xf numFmtId="0" fontId="5" fillId="0" borderId="0" xfId="0" applyFont="1" applyAlignment="1">
      <alignment horizontal="left" vertical="center"/>
    </xf>
    <xf numFmtId="0" fontId="16" fillId="0" borderId="0" xfId="0" applyFont="1" applyAlignment="1">
      <alignment vertical="center"/>
    </xf>
    <xf numFmtId="169" fontId="18" fillId="0" borderId="0" xfId="9" applyNumberFormat="1" applyFont="1" applyAlignment="1">
      <alignment vertical="center"/>
    </xf>
    <xf numFmtId="1" fontId="18" fillId="0" borderId="0" xfId="0" applyNumberFormat="1" applyFont="1" applyAlignment="1">
      <alignment vertical="center"/>
    </xf>
    <xf numFmtId="0" fontId="45" fillId="0" borderId="0" xfId="6" applyFont="1"/>
    <xf numFmtId="0" fontId="5" fillId="2" borderId="0" xfId="0" applyFont="1" applyFill="1"/>
    <xf numFmtId="0" fontId="18" fillId="2" borderId="0" xfId="0" applyFont="1" applyFill="1"/>
    <xf numFmtId="0" fontId="18" fillId="2" borderId="0" xfId="0" applyFont="1" applyFill="1" applyAlignment="1">
      <alignment horizontal="left" vertical="center"/>
    </xf>
    <xf numFmtId="0" fontId="18" fillId="2" borderId="0" xfId="0" applyFont="1" applyFill="1" applyAlignment="1">
      <alignment vertical="center"/>
    </xf>
    <xf numFmtId="0" fontId="35" fillId="2" borderId="0" xfId="7" applyFont="1" applyFill="1"/>
    <xf numFmtId="0" fontId="18" fillId="2" borderId="0" xfId="0" applyFont="1" applyFill="1" applyAlignment="1">
      <alignment horizontal="center" vertical="center"/>
    </xf>
    <xf numFmtId="2" fontId="18" fillId="2" borderId="0" xfId="0" applyNumberFormat="1" applyFont="1" applyFill="1" applyAlignment="1">
      <alignment horizontal="center" vertical="center"/>
    </xf>
    <xf numFmtId="9" fontId="18" fillId="2" borderId="0" xfId="0" applyNumberFormat="1" applyFont="1" applyFill="1" applyAlignment="1">
      <alignment horizontal="center" vertical="center"/>
    </xf>
    <xf numFmtId="0" fontId="5" fillId="2" borderId="0" xfId="0" applyFont="1" applyFill="1" applyAlignment="1">
      <alignment horizontal="left" vertical="center"/>
    </xf>
    <xf numFmtId="1" fontId="18" fillId="2" borderId="0" xfId="0" applyNumberFormat="1" applyFont="1" applyFill="1" applyAlignment="1">
      <alignment horizontal="center" vertical="center"/>
    </xf>
    <xf numFmtId="9" fontId="18" fillId="2" borderId="0" xfId="8" applyFont="1" applyFill="1" applyAlignment="1">
      <alignment horizontal="center" vertical="center"/>
    </xf>
    <xf numFmtId="0" fontId="5" fillId="3" borderId="0" xfId="0" applyFont="1" applyFill="1"/>
    <xf numFmtId="0" fontId="35" fillId="3" borderId="0" xfId="7" applyFont="1" applyFill="1"/>
    <xf numFmtId="0" fontId="18" fillId="3" borderId="0" xfId="0" applyFont="1" applyFill="1" applyAlignment="1">
      <alignment horizontal="left" vertical="center"/>
    </xf>
    <xf numFmtId="0" fontId="18" fillId="3" borderId="0" xfId="0" applyFont="1" applyFill="1" applyAlignment="1">
      <alignment vertical="center"/>
    </xf>
    <xf numFmtId="2" fontId="18" fillId="3" borderId="0" xfId="0" applyNumberFormat="1" applyFont="1" applyFill="1" applyAlignment="1">
      <alignment horizontal="center" vertical="center"/>
    </xf>
    <xf numFmtId="0" fontId="18" fillId="3" borderId="0" xfId="0" applyFont="1" applyFill="1"/>
    <xf numFmtId="0" fontId="5" fillId="3" borderId="0" xfId="0" applyFont="1" applyFill="1" applyAlignment="1">
      <alignment horizontal="left"/>
    </xf>
    <xf numFmtId="169" fontId="18" fillId="3" borderId="0" xfId="0" applyNumberFormat="1" applyFont="1" applyFill="1" applyAlignment="1">
      <alignment horizontal="center" vertical="center"/>
    </xf>
    <xf numFmtId="0" fontId="4" fillId="0" borderId="0" xfId="3" applyAlignment="1">
      <alignment vertical="center"/>
    </xf>
    <xf numFmtId="0" fontId="1" fillId="0" borderId="0" xfId="4" applyAlignment="1">
      <alignment vertical="center"/>
    </xf>
    <xf numFmtId="0" fontId="5" fillId="0" borderId="0" xfId="5" applyAlignment="1">
      <alignment vertical="center"/>
    </xf>
    <xf numFmtId="0" fontId="43" fillId="0" borderId="0" xfId="0" applyFont="1" applyAlignment="1">
      <alignment vertical="center"/>
    </xf>
    <xf numFmtId="0" fontId="5" fillId="3" borderId="0" xfId="0" applyFont="1" applyFill="1" applyAlignment="1">
      <alignment vertical="center"/>
    </xf>
    <xf numFmtId="0" fontId="35" fillId="3" borderId="0" xfId="7" applyFont="1" applyFill="1" applyAlignment="1">
      <alignment vertical="center"/>
    </xf>
    <xf numFmtId="0" fontId="5" fillId="3" borderId="0" xfId="0" applyFont="1" applyFill="1" applyAlignment="1">
      <alignment horizontal="left" vertical="center"/>
    </xf>
    <xf numFmtId="0" fontId="5" fillId="2" borderId="0" xfId="0" applyFont="1" applyFill="1" applyAlignment="1">
      <alignment vertical="center"/>
    </xf>
    <xf numFmtId="0" fontId="35" fillId="2" borderId="0" xfId="7" applyFont="1" applyFill="1" applyAlignment="1">
      <alignment vertical="center"/>
    </xf>
    <xf numFmtId="9" fontId="18" fillId="3" borderId="0" xfId="8" applyFont="1" applyFill="1" applyAlignment="1">
      <alignment horizontal="center" vertical="center"/>
    </xf>
    <xf numFmtId="0" fontId="0" fillId="2" borderId="0" xfId="0" applyFill="1"/>
    <xf numFmtId="0" fontId="0" fillId="2" borderId="0" xfId="0" applyFill="1" applyAlignment="1">
      <alignment vertical="center"/>
    </xf>
    <xf numFmtId="169" fontId="18" fillId="2" borderId="0" xfId="0" applyNumberFormat="1" applyFont="1" applyFill="1" applyAlignment="1">
      <alignment horizontal="center" vertical="center"/>
    </xf>
    <xf numFmtId="169" fontId="18" fillId="2" borderId="0" xfId="0" applyNumberFormat="1" applyFont="1" applyFill="1" applyAlignment="1">
      <alignment vertical="center"/>
    </xf>
    <xf numFmtId="169" fontId="18" fillId="3" borderId="0" xfId="0" applyNumberFormat="1" applyFont="1" applyFill="1" applyAlignment="1">
      <alignment vertical="center"/>
    </xf>
    <xf numFmtId="0" fontId="5" fillId="2" borderId="0" xfId="0" applyFont="1" applyFill="1" applyAlignment="1">
      <alignment horizontal="left"/>
    </xf>
    <xf numFmtId="169" fontId="18" fillId="2" borderId="0" xfId="9" applyNumberFormat="1" applyFont="1" applyFill="1" applyAlignment="1">
      <alignment horizontal="center" vertical="center"/>
    </xf>
    <xf numFmtId="169" fontId="18" fillId="2" borderId="0" xfId="9" applyNumberFormat="1" applyFont="1" applyFill="1" applyAlignment="1">
      <alignment vertical="center"/>
    </xf>
    <xf numFmtId="170" fontId="18" fillId="2" borderId="0" xfId="0" applyNumberFormat="1" applyFont="1" applyFill="1" applyAlignment="1">
      <alignment horizontal="center" vertical="center"/>
    </xf>
    <xf numFmtId="170" fontId="18" fillId="2" borderId="0" xfId="0" applyNumberFormat="1" applyFont="1" applyFill="1" applyAlignment="1">
      <alignment vertical="center"/>
    </xf>
    <xf numFmtId="0" fontId="18" fillId="2" borderId="0" xfId="0" applyFont="1" applyFill="1" applyAlignment="1">
      <alignment horizontal="center"/>
    </xf>
    <xf numFmtId="0" fontId="18" fillId="2" borderId="0" xfId="0" applyFont="1" applyFill="1" applyAlignment="1">
      <alignment horizontal="left"/>
    </xf>
    <xf numFmtId="9" fontId="18" fillId="2" borderId="0" xfId="8" applyFont="1" applyFill="1" applyAlignment="1">
      <alignment horizontal="center"/>
    </xf>
    <xf numFmtId="170" fontId="18" fillId="2" borderId="0" xfId="0" applyNumberFormat="1" applyFont="1" applyFill="1" applyAlignment="1">
      <alignment horizontal="center"/>
    </xf>
    <xf numFmtId="0" fontId="18" fillId="3" borderId="0" xfId="0" applyFont="1" applyFill="1" applyAlignment="1">
      <alignment horizontal="center"/>
    </xf>
    <xf numFmtId="170" fontId="18" fillId="3" borderId="0" xfId="0" applyNumberFormat="1" applyFont="1" applyFill="1" applyAlignment="1">
      <alignment horizontal="center"/>
    </xf>
    <xf numFmtId="0" fontId="18" fillId="2" borderId="0" xfId="0" applyFont="1" applyFill="1" applyAlignment="1">
      <alignment horizontal="right"/>
    </xf>
    <xf numFmtId="0" fontId="36" fillId="2" borderId="0" xfId="0" applyFont="1" applyFill="1" applyAlignment="1">
      <alignment horizontal="right"/>
    </xf>
    <xf numFmtId="0" fontId="34" fillId="2" borderId="0" xfId="0" applyFont="1" applyFill="1"/>
    <xf numFmtId="164" fontId="18" fillId="2" borderId="0" xfId="0" applyNumberFormat="1" applyFont="1" applyFill="1" applyAlignment="1">
      <alignment horizontal="center" vertical="center"/>
    </xf>
    <xf numFmtId="0" fontId="18" fillId="3" borderId="0" xfId="0" applyFont="1" applyFill="1" applyAlignment="1">
      <alignment horizontal="left"/>
    </xf>
    <xf numFmtId="0" fontId="38" fillId="2" borderId="0" xfId="0" applyFont="1" applyFill="1" applyAlignment="1">
      <alignment horizontal="left"/>
    </xf>
    <xf numFmtId="170" fontId="38" fillId="2" borderId="0" xfId="0" applyNumberFormat="1" applyFont="1" applyFill="1" applyAlignment="1">
      <alignment horizontal="center"/>
    </xf>
    <xf numFmtId="170" fontId="18" fillId="3" borderId="0" xfId="0" applyNumberFormat="1" applyFont="1" applyFill="1" applyAlignment="1">
      <alignment horizontal="center" vertical="center"/>
    </xf>
    <xf numFmtId="169" fontId="18" fillId="3" borderId="0" xfId="9" applyNumberFormat="1" applyFont="1" applyFill="1" applyAlignment="1">
      <alignment horizontal="center" vertical="center"/>
    </xf>
    <xf numFmtId="169" fontId="5" fillId="2" borderId="0" xfId="0" applyNumberFormat="1" applyFont="1" applyFill="1" applyAlignment="1">
      <alignment horizontal="center" vertical="center"/>
    </xf>
    <xf numFmtId="169" fontId="46" fillId="2" borderId="0" xfId="0" applyNumberFormat="1" applyFont="1" applyFill="1" applyAlignment="1">
      <alignment horizontal="center" vertical="center"/>
    </xf>
    <xf numFmtId="170" fontId="5" fillId="2" borderId="0" xfId="0" applyNumberFormat="1" applyFont="1" applyFill="1" applyAlignment="1">
      <alignment horizontal="center" vertical="center"/>
    </xf>
    <xf numFmtId="169" fontId="18" fillId="3" borderId="0" xfId="9" applyNumberFormat="1" applyFont="1" applyFill="1" applyAlignment="1">
      <alignment vertical="center"/>
    </xf>
    <xf numFmtId="0" fontId="18" fillId="4" borderId="0" xfId="0" applyFont="1" applyFill="1"/>
    <xf numFmtId="0" fontId="0" fillId="4" borderId="0" xfId="0" applyFill="1"/>
    <xf numFmtId="2" fontId="18" fillId="4" borderId="0" xfId="0" applyNumberFormat="1" applyFont="1" applyFill="1" applyAlignment="1">
      <alignment horizontal="center" vertical="center"/>
    </xf>
    <xf numFmtId="0" fontId="41" fillId="3" borderId="0" xfId="0" applyFont="1" applyFill="1" applyAlignment="1">
      <alignment horizontal="left"/>
    </xf>
    <xf numFmtId="0" fontId="43" fillId="3" borderId="0" xfId="0" applyFont="1" applyFill="1"/>
    <xf numFmtId="2" fontId="18" fillId="3" borderId="0" xfId="0" applyNumberFormat="1" applyFont="1" applyFill="1" applyAlignment="1">
      <alignment horizontal="left" vertical="center"/>
    </xf>
    <xf numFmtId="168" fontId="18" fillId="3" borderId="0" xfId="0" applyNumberFormat="1" applyFont="1" applyFill="1" applyAlignment="1">
      <alignment vertical="center"/>
    </xf>
    <xf numFmtId="1" fontId="18" fillId="3" borderId="0" xfId="0" applyNumberFormat="1" applyFont="1" applyFill="1" applyAlignment="1">
      <alignment horizontal="center" vertical="center"/>
    </xf>
    <xf numFmtId="2" fontId="18" fillId="3" borderId="0" xfId="8" applyNumberFormat="1" applyFont="1" applyFill="1" applyAlignment="1">
      <alignment horizontal="center" vertical="center"/>
    </xf>
    <xf numFmtId="0" fontId="0" fillId="3" borderId="0" xfId="0" applyFill="1" applyAlignment="1">
      <alignment vertical="center"/>
    </xf>
    <xf numFmtId="170" fontId="36" fillId="2" borderId="0" xfId="0" applyNumberFormat="1" applyFont="1" applyFill="1" applyAlignment="1">
      <alignment horizontal="center" vertical="center"/>
    </xf>
    <xf numFmtId="170" fontId="37" fillId="2" borderId="0" xfId="0" applyNumberFormat="1" applyFont="1" applyFill="1" applyAlignment="1">
      <alignment horizontal="center" vertical="center"/>
    </xf>
    <xf numFmtId="0" fontId="19" fillId="0" borderId="0" xfId="0" applyFont="1" applyAlignment="1">
      <alignment horizontal="center" vertical="center"/>
    </xf>
    <xf numFmtId="166" fontId="5" fillId="0" borderId="0" xfId="0" applyNumberFormat="1" applyFont="1" applyAlignment="1">
      <alignment horizontal="center" vertical="center"/>
    </xf>
    <xf numFmtId="166" fontId="18" fillId="0" borderId="0" xfId="0" applyNumberFormat="1" applyFont="1" applyAlignment="1">
      <alignment horizontal="center" vertical="center"/>
    </xf>
    <xf numFmtId="176" fontId="18" fillId="0" borderId="0" xfId="0" applyNumberFormat="1" applyFont="1" applyAlignment="1">
      <alignment horizontal="center" vertical="center"/>
    </xf>
    <xf numFmtId="0" fontId="48" fillId="0" borderId="0" xfId="0" applyFont="1" applyAlignment="1">
      <alignment vertical="center"/>
    </xf>
    <xf numFmtId="166" fontId="48" fillId="0" borderId="0" xfId="0" applyNumberFormat="1" applyFont="1" applyAlignment="1">
      <alignment horizontal="center" vertical="center"/>
    </xf>
    <xf numFmtId="0" fontId="49" fillId="0" borderId="0" xfId="0" applyFont="1" applyAlignment="1">
      <alignment vertical="center"/>
    </xf>
    <xf numFmtId="0" fontId="50" fillId="0" borderId="0" xfId="0" applyFont="1"/>
    <xf numFmtId="175" fontId="48" fillId="0" borderId="0" xfId="0" applyNumberFormat="1" applyFont="1" applyAlignment="1">
      <alignment horizontal="center" vertical="center"/>
    </xf>
    <xf numFmtId="176" fontId="48" fillId="0" borderId="0" xfId="0" applyNumberFormat="1" applyFont="1" applyAlignment="1">
      <alignment horizontal="center" vertical="center"/>
    </xf>
    <xf numFmtId="0" fontId="47" fillId="0" borderId="0" xfId="0" applyFont="1" applyAlignment="1">
      <alignment vertical="center"/>
    </xf>
    <xf numFmtId="0" fontId="51" fillId="0" borderId="0" xfId="0" applyFont="1" applyAlignment="1">
      <alignment horizontal="left" vertical="center"/>
    </xf>
    <xf numFmtId="166" fontId="24" fillId="0" borderId="0" xfId="0" applyNumberFormat="1" applyFont="1" applyAlignment="1">
      <alignment horizontal="center" vertical="center"/>
    </xf>
    <xf numFmtId="1" fontId="48" fillId="0" borderId="0" xfId="0" applyNumberFormat="1" applyFont="1" applyAlignment="1">
      <alignment horizontal="right" vertical="center"/>
    </xf>
    <xf numFmtId="173" fontId="48" fillId="0" borderId="0" xfId="0" applyNumberFormat="1" applyFont="1" applyAlignment="1">
      <alignment horizontal="right" vertical="center"/>
    </xf>
    <xf numFmtId="170" fontId="18" fillId="2" borderId="0" xfId="9" applyNumberFormat="1" applyFont="1" applyFill="1" applyAlignment="1">
      <alignment horizontal="center" vertical="center"/>
    </xf>
    <xf numFmtId="166" fontId="52" fillId="0" borderId="0" xfId="0" applyNumberFormat="1" applyFont="1" applyAlignment="1">
      <alignment horizontal="center" vertical="center"/>
    </xf>
    <xf numFmtId="0" fontId="53" fillId="0" borderId="0" xfId="0" applyFont="1"/>
    <xf numFmtId="176" fontId="37" fillId="0" borderId="0" xfId="0" applyNumberFormat="1" applyFont="1" applyAlignment="1">
      <alignment horizontal="center" vertical="center"/>
    </xf>
    <xf numFmtId="166" fontId="18" fillId="0" borderId="0" xfId="0" applyNumberFormat="1" applyFont="1"/>
    <xf numFmtId="177" fontId="37" fillId="0" borderId="0" xfId="0" applyNumberFormat="1" applyFont="1" applyAlignment="1">
      <alignment horizontal="center" vertical="center"/>
    </xf>
    <xf numFmtId="166" fontId="18" fillId="2" borderId="0" xfId="0" applyNumberFormat="1" applyFont="1" applyFill="1"/>
    <xf numFmtId="1" fontId="18" fillId="2" borderId="0" xfId="0" applyNumberFormat="1" applyFont="1" applyFill="1" applyAlignment="1">
      <alignment horizontal="center"/>
    </xf>
    <xf numFmtId="2" fontId="18" fillId="2" borderId="0" xfId="0" applyNumberFormat="1" applyFont="1" applyFill="1" applyAlignment="1">
      <alignment horizontal="center"/>
    </xf>
    <xf numFmtId="175" fontId="18" fillId="2" borderId="0" xfId="0" applyNumberFormat="1" applyFont="1" applyFill="1"/>
    <xf numFmtId="176" fontId="18" fillId="2" borderId="0" xfId="0" applyNumberFormat="1" applyFont="1" applyFill="1"/>
    <xf numFmtId="0" fontId="9" fillId="2" borderId="0" xfId="7" applyFill="1"/>
    <xf numFmtId="10" fontId="18" fillId="2" borderId="0" xfId="8" applyNumberFormat="1" applyFont="1" applyFill="1" applyAlignment="1">
      <alignment horizontal="center"/>
    </xf>
    <xf numFmtId="166" fontId="18" fillId="3" borderId="0" xfId="0" applyNumberFormat="1" applyFont="1" applyFill="1" applyAlignment="1">
      <alignment horizontal="center" vertical="center"/>
    </xf>
    <xf numFmtId="2" fontId="48" fillId="0" borderId="0" xfId="0" applyNumberFormat="1" applyFont="1" applyAlignment="1">
      <alignment horizontal="right" vertical="center"/>
    </xf>
    <xf numFmtId="0" fontId="5" fillId="5" borderId="0" xfId="0" applyFont="1" applyFill="1" applyAlignment="1">
      <alignment horizontal="center"/>
    </xf>
    <xf numFmtId="173" fontId="18" fillId="0" borderId="0" xfId="0" applyNumberFormat="1" applyFont="1" applyAlignment="1">
      <alignment horizontal="center" vertical="center"/>
    </xf>
    <xf numFmtId="176" fontId="18" fillId="2" borderId="0" xfId="0" applyNumberFormat="1" applyFont="1" applyFill="1" applyAlignment="1">
      <alignment horizontal="center"/>
    </xf>
    <xf numFmtId="166" fontId="18" fillId="2" borderId="0" xfId="0" applyNumberFormat="1" applyFont="1" applyFill="1" applyAlignment="1">
      <alignment horizontal="center"/>
    </xf>
    <xf numFmtId="0" fontId="35" fillId="2" borderId="0" xfId="7" applyFont="1" applyFill="1" applyAlignment="1">
      <alignment horizontal="left"/>
    </xf>
    <xf numFmtId="173" fontId="18" fillId="2" borderId="0" xfId="0" applyNumberFormat="1" applyFont="1" applyFill="1" applyAlignment="1">
      <alignment horizontal="center" vertical="center"/>
    </xf>
    <xf numFmtId="173" fontId="18" fillId="3" borderId="0" xfId="0" applyNumberFormat="1" applyFont="1" applyFill="1" applyAlignment="1">
      <alignment horizontal="center" vertical="center"/>
    </xf>
    <xf numFmtId="1" fontId="18" fillId="3" borderId="0" xfId="0" applyNumberFormat="1" applyFont="1" applyFill="1" applyAlignment="1">
      <alignment horizontal="center"/>
    </xf>
    <xf numFmtId="166" fontId="18" fillId="3" borderId="0" xfId="0" applyNumberFormat="1" applyFont="1" applyFill="1" applyAlignment="1">
      <alignment horizontal="center"/>
    </xf>
    <xf numFmtId="168" fontId="18" fillId="2" borderId="0" xfId="0" applyNumberFormat="1" applyFont="1" applyFill="1" applyAlignment="1">
      <alignment horizontal="center"/>
    </xf>
    <xf numFmtId="173" fontId="18" fillId="2" borderId="0" xfId="0" applyNumberFormat="1" applyFont="1" applyFill="1" applyAlignment="1">
      <alignment horizontal="center"/>
    </xf>
    <xf numFmtId="176" fontId="18" fillId="2" borderId="0" xfId="8" applyNumberFormat="1" applyFont="1" applyFill="1" applyAlignment="1">
      <alignment horizontal="center"/>
    </xf>
    <xf numFmtId="9" fontId="18" fillId="2" borderId="0" xfId="0" applyNumberFormat="1" applyFont="1" applyFill="1" applyAlignment="1">
      <alignment horizontal="center"/>
    </xf>
    <xf numFmtId="169" fontId="0" fillId="0" borderId="0" xfId="0" applyNumberFormat="1" applyAlignment="1">
      <alignment vertical="center"/>
    </xf>
    <xf numFmtId="166" fontId="18" fillId="0" borderId="0" xfId="0" applyNumberFormat="1" applyFont="1" applyAlignment="1">
      <alignment vertical="center"/>
    </xf>
    <xf numFmtId="166" fontId="18" fillId="0" borderId="0" xfId="9" applyFont="1" applyAlignment="1">
      <alignment horizontal="center" vertical="center"/>
    </xf>
    <xf numFmtId="1" fontId="18" fillId="2" borderId="0" xfId="0" applyNumberFormat="1" applyFont="1" applyFill="1" applyAlignment="1">
      <alignment horizontal="right" vertical="center"/>
    </xf>
    <xf numFmtId="166" fontId="18" fillId="2" borderId="0" xfId="0" applyNumberFormat="1" applyFont="1" applyFill="1" applyAlignment="1">
      <alignment horizontal="right" vertical="center"/>
    </xf>
    <xf numFmtId="166" fontId="18" fillId="2" borderId="0" xfId="0" applyNumberFormat="1" applyFont="1" applyFill="1" applyAlignment="1">
      <alignment horizontal="left"/>
    </xf>
    <xf numFmtId="9" fontId="18" fillId="2" borderId="0" xfId="8" applyFont="1" applyFill="1" applyAlignment="1">
      <alignment horizontal="left"/>
    </xf>
    <xf numFmtId="166" fontId="18" fillId="3" borderId="0" xfId="0" applyNumberFormat="1" applyFont="1" applyFill="1" applyAlignment="1">
      <alignment horizontal="left"/>
    </xf>
    <xf numFmtId="9" fontId="18" fillId="3" borderId="0" xfId="8" applyFont="1" applyFill="1" applyAlignment="1">
      <alignment horizontal="center"/>
    </xf>
    <xf numFmtId="166" fontId="48" fillId="0" borderId="0" xfId="0" applyNumberFormat="1" applyFont="1" applyAlignment="1">
      <alignment horizontal="right" vertical="center"/>
    </xf>
    <xf numFmtId="1" fontId="48" fillId="0" borderId="0" xfId="0" applyNumberFormat="1" applyFont="1" applyAlignment="1">
      <alignment horizontal="center" vertical="center"/>
    </xf>
    <xf numFmtId="9" fontId="48" fillId="0" borderId="0" xfId="8" applyFont="1" applyAlignment="1">
      <alignment horizontal="right" vertical="center"/>
    </xf>
    <xf numFmtId="0" fontId="17" fillId="0" borderId="0" xfId="0" applyFont="1"/>
    <xf numFmtId="0" fontId="56" fillId="0" borderId="0" xfId="0" applyFont="1" applyAlignment="1">
      <alignment vertical="center"/>
    </xf>
    <xf numFmtId="0" fontId="17" fillId="0" borderId="0" xfId="0" applyFont="1" applyAlignment="1">
      <alignment vertical="center"/>
    </xf>
    <xf numFmtId="169" fontId="17" fillId="0" borderId="0" xfId="0" applyNumberFormat="1" applyFont="1" applyAlignment="1">
      <alignment horizontal="left"/>
    </xf>
    <xf numFmtId="0" fontId="34" fillId="0" borderId="0" xfId="0" applyFont="1"/>
    <xf numFmtId="0" fontId="34" fillId="0" borderId="0" xfId="0" applyFont="1" applyAlignment="1">
      <alignment vertical="center"/>
    </xf>
    <xf numFmtId="0" fontId="57" fillId="0" borderId="0" xfId="0" applyFont="1"/>
    <xf numFmtId="0" fontId="51" fillId="0" borderId="0" xfId="0" applyFont="1" applyAlignment="1">
      <alignment vertical="center"/>
    </xf>
    <xf numFmtId="0" fontId="47" fillId="0" borderId="0" xfId="0" applyFont="1" applyAlignment="1">
      <alignment horizontal="left" vertical="center"/>
    </xf>
    <xf numFmtId="0" fontId="17" fillId="0" borderId="0" xfId="0" applyFont="1" applyAlignment="1">
      <alignment horizontal="left"/>
    </xf>
    <xf numFmtId="0" fontId="34" fillId="0" borderId="0" xfId="0" applyFont="1" applyAlignment="1">
      <alignment horizontal="left" vertical="center"/>
    </xf>
    <xf numFmtId="9" fontId="17" fillId="0" borderId="0" xfId="8" applyFont="1" applyAlignment="1">
      <alignment horizontal="left" vertical="center"/>
    </xf>
    <xf numFmtId="0" fontId="12" fillId="6" borderId="0" xfId="1" applyFont="1" applyFill="1"/>
    <xf numFmtId="0" fontId="1" fillId="6" borderId="0" xfId="4" applyFill="1"/>
    <xf numFmtId="0" fontId="5" fillId="6" borderId="0" xfId="5" applyFill="1"/>
    <xf numFmtId="0" fontId="0" fillId="6" borderId="0" xfId="0" applyFill="1"/>
    <xf numFmtId="0" fontId="18" fillId="6" borderId="0" xfId="0" applyFont="1" applyFill="1"/>
    <xf numFmtId="0" fontId="3" fillId="6" borderId="0" xfId="2" applyFill="1"/>
    <xf numFmtId="0" fontId="4" fillId="6" borderId="0" xfId="3" applyFill="1"/>
    <xf numFmtId="0" fontId="5" fillId="6" borderId="0" xfId="0" applyFont="1" applyFill="1" applyAlignment="1">
      <alignment horizontal="center"/>
    </xf>
    <xf numFmtId="176" fontId="18" fillId="6" borderId="0" xfId="0" applyNumberFormat="1" applyFont="1" applyFill="1" applyAlignment="1">
      <alignment horizontal="center"/>
    </xf>
    <xf numFmtId="176" fontId="18" fillId="6" borderId="0" xfId="0" applyNumberFormat="1" applyFont="1" applyFill="1"/>
    <xf numFmtId="166" fontId="18" fillId="6" borderId="0" xfId="0" applyNumberFormat="1" applyFont="1" applyFill="1" applyAlignment="1">
      <alignment horizontal="center"/>
    </xf>
    <xf numFmtId="166" fontId="18" fillId="6" borderId="0" xfId="0" applyNumberFormat="1" applyFont="1" applyFill="1"/>
    <xf numFmtId="0" fontId="18" fillId="6" borderId="0" xfId="0" applyFont="1" applyFill="1" applyAlignment="1">
      <alignment horizontal="right"/>
    </xf>
    <xf numFmtId="0" fontId="18" fillId="2" borderId="0" xfId="0" applyFont="1" applyFill="1" applyAlignment="1">
      <alignment horizontal="right" vertical="center"/>
    </xf>
    <xf numFmtId="0" fontId="5" fillId="2" borderId="0" xfId="0" applyFont="1" applyFill="1" applyAlignment="1">
      <alignment horizontal="right" vertical="center"/>
    </xf>
    <xf numFmtId="9" fontId="18" fillId="2" borderId="0" xfId="8" applyFont="1" applyFill="1" applyAlignment="1">
      <alignment vertical="center"/>
    </xf>
    <xf numFmtId="176" fontId="18" fillId="2" borderId="0" xfId="0" applyNumberFormat="1" applyFont="1" applyFill="1" applyAlignment="1">
      <alignment vertical="center"/>
    </xf>
    <xf numFmtId="0" fontId="18" fillId="4" borderId="0" xfId="0" applyFont="1" applyFill="1" applyAlignment="1">
      <alignment vertical="center"/>
    </xf>
    <xf numFmtId="176" fontId="18" fillId="3" borderId="0" xfId="0" applyNumberFormat="1" applyFont="1" applyFill="1" applyAlignment="1">
      <alignment vertical="center"/>
    </xf>
    <xf numFmtId="0" fontId="22" fillId="0" borderId="0" xfId="0" applyFont="1" applyAlignment="1">
      <alignment vertical="center"/>
    </xf>
    <xf numFmtId="176" fontId="18" fillId="0" borderId="0" xfId="0" applyNumberFormat="1" applyFont="1"/>
    <xf numFmtId="9" fontId="60" fillId="0" borderId="0" xfId="0" applyNumberFormat="1" applyFont="1"/>
    <xf numFmtId="1" fontId="60" fillId="0" borderId="0" xfId="0" applyNumberFormat="1" applyFont="1"/>
    <xf numFmtId="0" fontId="59" fillId="6" borderId="0" xfId="0" applyFont="1" applyFill="1" applyAlignment="1">
      <alignment horizontal="center" vertical="center"/>
    </xf>
    <xf numFmtId="0" fontId="58" fillId="6" borderId="0" xfId="0" applyFont="1" applyFill="1" applyAlignment="1">
      <alignment horizontal="left" vertical="center"/>
    </xf>
    <xf numFmtId="9" fontId="59" fillId="6" borderId="0" xfId="8" applyFont="1" applyFill="1" applyAlignment="1">
      <alignment horizontal="center" vertical="center"/>
    </xf>
    <xf numFmtId="0" fontId="18" fillId="3" borderId="0" xfId="0" applyFont="1" applyFill="1" applyAlignment="1">
      <alignment horizontal="right"/>
    </xf>
    <xf numFmtId="2" fontId="18" fillId="3" borderId="0" xfId="0" applyNumberFormat="1" applyFont="1" applyFill="1" applyAlignment="1">
      <alignment horizontal="center"/>
    </xf>
    <xf numFmtId="0" fontId="5" fillId="2" borderId="0" xfId="0" applyFont="1" applyFill="1" applyAlignment="1">
      <alignment horizontal="center"/>
    </xf>
    <xf numFmtId="3" fontId="18" fillId="2" borderId="0" xfId="0" applyNumberFormat="1" applyFont="1" applyFill="1"/>
    <xf numFmtId="169" fontId="18" fillId="2" borderId="0" xfId="0" applyNumberFormat="1" applyFont="1" applyFill="1" applyAlignment="1">
      <alignment horizontal="center"/>
    </xf>
    <xf numFmtId="10" fontId="18" fillId="2" borderId="0" xfId="0" applyNumberFormat="1" applyFont="1" applyFill="1" applyAlignment="1">
      <alignment horizontal="center"/>
    </xf>
    <xf numFmtId="0" fontId="19" fillId="2" borderId="0" xfId="0" applyFont="1" applyFill="1" applyAlignment="1">
      <alignment horizontal="center"/>
    </xf>
    <xf numFmtId="0" fontId="61" fillId="2" borderId="0" xfId="7" applyFont="1" applyFill="1"/>
    <xf numFmtId="166" fontId="19" fillId="2" borderId="0" xfId="0" applyNumberFormat="1" applyFont="1" applyFill="1" applyAlignment="1">
      <alignment horizontal="center"/>
    </xf>
    <xf numFmtId="0" fontId="31" fillId="0" borderId="0" xfId="3" applyFont="1"/>
    <xf numFmtId="0" fontId="31" fillId="0" borderId="0" xfId="4" applyFont="1"/>
    <xf numFmtId="0" fontId="31" fillId="0" borderId="0" xfId="5" applyFont="1"/>
    <xf numFmtId="0" fontId="62" fillId="0" borderId="0" xfId="0" applyFont="1"/>
    <xf numFmtId="0" fontId="31" fillId="2" borderId="0" xfId="0" applyFont="1" applyFill="1"/>
    <xf numFmtId="0" fontId="63" fillId="0" borderId="0" xfId="7" applyFont="1"/>
    <xf numFmtId="0" fontId="30" fillId="2" borderId="0" xfId="0" applyFont="1" applyFill="1" applyAlignment="1">
      <alignment horizontal="left"/>
    </xf>
    <xf numFmtId="0" fontId="30" fillId="2" borderId="0" xfId="0" applyFont="1" applyFill="1" applyAlignment="1">
      <alignment horizontal="center"/>
    </xf>
    <xf numFmtId="0" fontId="30" fillId="0" borderId="0" xfId="0" applyFont="1" applyAlignment="1">
      <alignment horizontal="center"/>
    </xf>
    <xf numFmtId="9" fontId="5" fillId="2" borderId="0" xfId="0" applyNumberFormat="1" applyFont="1" applyFill="1" applyAlignment="1">
      <alignment horizontal="center"/>
    </xf>
    <xf numFmtId="0" fontId="5" fillId="2" borderId="0" xfId="0" applyFont="1" applyFill="1" applyAlignment="1">
      <alignment horizontal="right"/>
    </xf>
    <xf numFmtId="164" fontId="18" fillId="2" borderId="0" xfId="0" applyNumberFormat="1" applyFont="1" applyFill="1" applyAlignment="1">
      <alignment horizontal="center"/>
    </xf>
    <xf numFmtId="165" fontId="18" fillId="2" borderId="0" xfId="0" applyNumberFormat="1" applyFont="1" applyFill="1" applyAlignment="1">
      <alignment horizontal="center"/>
    </xf>
    <xf numFmtId="166" fontId="5" fillId="2" borderId="0" xfId="0" applyNumberFormat="1" applyFont="1" applyFill="1" applyAlignment="1">
      <alignment horizontal="center"/>
    </xf>
    <xf numFmtId="0" fontId="63" fillId="2" borderId="0" xfId="7" applyFont="1" applyFill="1"/>
    <xf numFmtId="9" fontId="0" fillId="0" borderId="0" xfId="8" applyFont="1"/>
    <xf numFmtId="166" fontId="18" fillId="0" borderId="0" xfId="0" applyNumberFormat="1" applyFont="1" applyAlignment="1">
      <alignment horizontal="center"/>
    </xf>
    <xf numFmtId="2" fontId="5" fillId="0" borderId="0" xfId="0" applyNumberFormat="1" applyFont="1" applyAlignment="1">
      <alignment horizontal="center"/>
    </xf>
    <xf numFmtId="164" fontId="18" fillId="2" borderId="0" xfId="0" applyNumberFormat="1" applyFont="1" applyFill="1" applyAlignment="1">
      <alignment horizontal="right" vertical="center"/>
    </xf>
    <xf numFmtId="175" fontId="5" fillId="0" borderId="0" xfId="0" applyNumberFormat="1" applyFont="1" applyAlignment="1">
      <alignment horizontal="center" vertical="center"/>
    </xf>
    <xf numFmtId="0" fontId="1" fillId="0" borderId="0" xfId="0" applyFont="1" applyAlignment="1">
      <alignment horizontal="left" vertical="center"/>
    </xf>
    <xf numFmtId="178" fontId="48" fillId="0" borderId="0" xfId="57" applyNumberFormat="1" applyFont="1" applyAlignment="1">
      <alignment horizontal="right" vertical="center"/>
    </xf>
    <xf numFmtId="9" fontId="64" fillId="0" borderId="0" xfId="0" applyNumberFormat="1" applyFont="1" applyAlignment="1">
      <alignment horizontal="right"/>
    </xf>
    <xf numFmtId="9" fontId="47" fillId="0" borderId="0" xfId="8" applyFont="1" applyAlignment="1">
      <alignment horizontal="right" vertical="center"/>
    </xf>
    <xf numFmtId="1" fontId="18" fillId="0" borderId="0" xfId="0" applyNumberFormat="1" applyFont="1" applyAlignment="1">
      <alignment horizontal="center"/>
    </xf>
    <xf numFmtId="165" fontId="18" fillId="0" borderId="0" xfId="0" applyNumberFormat="1" applyFont="1" applyAlignment="1">
      <alignment vertical="center"/>
    </xf>
    <xf numFmtId="179" fontId="18" fillId="0" borderId="0" xfId="0" applyNumberFormat="1" applyFont="1" applyAlignment="1">
      <alignment vertical="center"/>
    </xf>
    <xf numFmtId="0" fontId="5" fillId="6" borderId="0" xfId="0" applyFont="1" applyFill="1" applyAlignment="1">
      <alignment horizontal="right"/>
    </xf>
    <xf numFmtId="0" fontId="66" fillId="6" borderId="0" xfId="0" applyFont="1" applyFill="1" applyAlignment="1">
      <alignment horizontal="left" vertical="center"/>
    </xf>
    <xf numFmtId="169" fontId="37" fillId="2" borderId="0" xfId="0" applyNumberFormat="1" applyFont="1" applyFill="1" applyAlignment="1">
      <alignment horizontal="center" vertical="center"/>
    </xf>
    <xf numFmtId="169" fontId="52" fillId="2" borderId="0" xfId="0" applyNumberFormat="1" applyFont="1" applyFill="1" applyAlignment="1">
      <alignment horizontal="center" vertical="center"/>
    </xf>
    <xf numFmtId="170" fontId="37" fillId="2" borderId="0" xfId="0" applyNumberFormat="1" applyFont="1" applyFill="1" applyAlignment="1">
      <alignment vertical="center"/>
    </xf>
    <xf numFmtId="169" fontId="37" fillId="2" borderId="0" xfId="9" applyNumberFormat="1" applyFont="1" applyFill="1" applyAlignment="1">
      <alignment horizontal="center" vertical="center"/>
    </xf>
    <xf numFmtId="165" fontId="0" fillId="0" borderId="0" xfId="0" applyNumberFormat="1"/>
    <xf numFmtId="10" fontId="0" fillId="0" borderId="0" xfId="0" applyNumberFormat="1"/>
    <xf numFmtId="180" fontId="48" fillId="0" borderId="0" xfId="0" applyNumberFormat="1" applyFont="1" applyAlignment="1">
      <alignment horizontal="center" vertical="center"/>
    </xf>
    <xf numFmtId="0" fontId="0" fillId="6" borderId="0" xfId="0" applyFill="1" applyAlignment="1">
      <alignment horizontal="center" vertical="center"/>
    </xf>
    <xf numFmtId="0" fontId="6" fillId="6" borderId="0" xfId="6" applyFill="1"/>
    <xf numFmtId="0" fontId="34" fillId="6" borderId="0" xfId="0" applyFont="1" applyFill="1" applyAlignment="1">
      <alignment horizontal="center" vertical="center" wrapText="1"/>
    </xf>
    <xf numFmtId="0" fontId="17" fillId="6" borderId="0" xfId="0" applyFont="1" applyFill="1" applyAlignment="1">
      <alignment horizontal="center" vertical="center"/>
    </xf>
    <xf numFmtId="0" fontId="18" fillId="6" borderId="0" xfId="0" applyFont="1" applyFill="1" applyAlignment="1">
      <alignment horizontal="center" vertical="center"/>
    </xf>
    <xf numFmtId="0" fontId="67" fillId="7" borderId="1" xfId="58" applyFont="1" applyAlignment="1">
      <alignment horizontal="center" vertical="center"/>
    </xf>
    <xf numFmtId="180" fontId="18" fillId="0" borderId="0" xfId="0" applyNumberFormat="1" applyFont="1" applyAlignment="1">
      <alignment horizontal="center" vertical="center"/>
    </xf>
    <xf numFmtId="0" fontId="7" fillId="8" borderId="0" xfId="1" applyFont="1" applyFill="1"/>
    <xf numFmtId="0" fontId="0" fillId="8" borderId="0" xfId="0" applyFill="1"/>
    <xf numFmtId="0" fontId="8" fillId="8" borderId="0" xfId="2" applyFont="1" applyFill="1"/>
    <xf numFmtId="0" fontId="10" fillId="8" borderId="0" xfId="5" applyFont="1" applyFill="1"/>
    <xf numFmtId="0" fontId="54" fillId="8" borderId="0" xfId="0" applyFont="1" applyFill="1"/>
    <xf numFmtId="0" fontId="11" fillId="8" borderId="0" xfId="2" applyFont="1" applyFill="1"/>
    <xf numFmtId="0" fontId="9" fillId="3" borderId="0" xfId="7" applyFill="1"/>
    <xf numFmtId="0" fontId="62" fillId="3" borderId="0" xfId="0" applyFont="1" applyFill="1" applyAlignment="1">
      <alignment horizontal="left"/>
    </xf>
    <xf numFmtId="0" fontId="30" fillId="3" borderId="0" xfId="0" applyFont="1" applyFill="1"/>
    <xf numFmtId="0" fontId="63" fillId="3" borderId="0" xfId="7" applyFont="1" applyFill="1"/>
    <xf numFmtId="0" fontId="15" fillId="8" borderId="0" xfId="3" applyFont="1" applyFill="1"/>
    <xf numFmtId="0" fontId="34" fillId="0" borderId="0" xfId="0" applyFont="1" applyAlignment="1">
      <alignment horizontal="center" vertical="center" wrapText="1"/>
    </xf>
    <xf numFmtId="0" fontId="5" fillId="0" borderId="0" xfId="0" applyFont="1" applyAlignment="1">
      <alignment horizontal="center" vertical="center" wrapText="1"/>
    </xf>
    <xf numFmtId="0" fontId="17" fillId="0" borderId="0" xfId="0" applyFont="1" applyAlignment="1">
      <alignment horizontal="center" vertical="center"/>
    </xf>
    <xf numFmtId="170" fontId="0" fillId="3" borderId="0" xfId="0" applyNumberFormat="1" applyFill="1"/>
    <xf numFmtId="9" fontId="18" fillId="3" borderId="0" xfId="0" applyNumberFormat="1" applyFont="1" applyFill="1" applyAlignment="1">
      <alignment horizontal="center"/>
    </xf>
    <xf numFmtId="0" fontId="49" fillId="3" borderId="0" xfId="0" applyFont="1" applyFill="1"/>
    <xf numFmtId="164" fontId="18" fillId="2" borderId="0" xfId="0" applyNumberFormat="1" applyFont="1" applyFill="1"/>
    <xf numFmtId="0" fontId="18" fillId="8" borderId="0" xfId="0" applyFont="1" applyFill="1"/>
    <xf numFmtId="0" fontId="18" fillId="8" borderId="0" xfId="0" applyFont="1" applyFill="1" applyAlignment="1">
      <alignment horizontal="left"/>
    </xf>
    <xf numFmtId="0" fontId="41" fillId="8" borderId="0" xfId="0" applyFont="1" applyFill="1"/>
    <xf numFmtId="0" fontId="5" fillId="0" borderId="2" xfId="0" applyFont="1" applyBorder="1" applyAlignment="1">
      <alignment horizontal="center" vertical="center"/>
    </xf>
    <xf numFmtId="0" fontId="18" fillId="0" borderId="2" xfId="0" applyFont="1" applyBorder="1" applyAlignment="1">
      <alignment horizontal="center" vertical="center"/>
    </xf>
    <xf numFmtId="1" fontId="18" fillId="0" borderId="2" xfId="0" applyNumberFormat="1" applyFont="1" applyBorder="1" applyAlignment="1">
      <alignment horizontal="center" vertical="center"/>
    </xf>
    <xf numFmtId="0" fontId="5" fillId="0" borderId="2" xfId="0" applyFont="1" applyBorder="1" applyAlignment="1">
      <alignment horizontal="left" vertical="center"/>
    </xf>
    <xf numFmtId="0" fontId="18" fillId="0" borderId="2" xfId="0" applyFont="1" applyBorder="1"/>
    <xf numFmtId="9" fontId="18" fillId="0" borderId="2" xfId="0" applyNumberFormat="1" applyFont="1" applyBorder="1" applyAlignment="1">
      <alignment horizontal="center" vertical="center"/>
    </xf>
    <xf numFmtId="169" fontId="5" fillId="2" borderId="2" xfId="0" applyNumberFormat="1" applyFont="1" applyFill="1" applyBorder="1" applyAlignment="1">
      <alignment horizontal="right" vertical="center"/>
    </xf>
    <xf numFmtId="9" fontId="18" fillId="2" borderId="2" xfId="0" applyNumberFormat="1" applyFont="1" applyFill="1" applyBorder="1" applyAlignment="1">
      <alignment horizontal="center" vertical="center"/>
    </xf>
    <xf numFmtId="0" fontId="5" fillId="2" borderId="2" xfId="0" applyFont="1" applyFill="1" applyBorder="1" applyAlignment="1">
      <alignment horizontal="right" vertical="center"/>
    </xf>
    <xf numFmtId="172" fontId="18" fillId="2" borderId="2" xfId="0" applyNumberFormat="1" applyFont="1" applyFill="1" applyBorder="1" applyAlignment="1">
      <alignment horizontal="center" vertical="center"/>
    </xf>
    <xf numFmtId="166" fontId="0" fillId="0" borderId="0" xfId="0" applyNumberFormat="1"/>
    <xf numFmtId="10" fontId="48" fillId="0" borderId="0" xfId="8" applyNumberFormat="1" applyFont="1" applyAlignment="1">
      <alignment horizontal="right" vertical="center"/>
    </xf>
    <xf numFmtId="0" fontId="5" fillId="2" borderId="0" xfId="0" applyFont="1" applyFill="1" applyAlignment="1">
      <alignment horizontal="center" vertical="center"/>
    </xf>
    <xf numFmtId="166" fontId="18" fillId="2" borderId="0" xfId="0" applyNumberFormat="1" applyFont="1" applyFill="1" applyAlignment="1">
      <alignment vertical="center"/>
    </xf>
    <xf numFmtId="0" fontId="6" fillId="8" borderId="0" xfId="6" applyFill="1" applyAlignment="1"/>
    <xf numFmtId="0" fontId="6" fillId="0" borderId="0" xfId="6" applyAlignment="1"/>
    <xf numFmtId="0" fontId="55" fillId="8" borderId="0" xfId="6" applyFont="1" applyFill="1" applyAlignment="1"/>
    <xf numFmtId="0" fontId="6" fillId="6" borderId="0" xfId="6" applyFill="1" applyAlignment="1"/>
    <xf numFmtId="0" fontId="18" fillId="2" borderId="0" xfId="0" applyFont="1" applyFill="1" applyAlignment="1">
      <alignment horizontal="center"/>
    </xf>
  </cellXfs>
  <cellStyles count="59">
    <cellStyle name="bpm_h1" xfId="3" xr:uid="{DBB0BE49-25D0-41F0-8512-E2610B882168}"/>
    <cellStyle name="bpm_h2" xfId="4" xr:uid="{3F3D2E23-CDA1-4937-9327-A5D2E0508D80}"/>
    <cellStyle name="bpm_h3" xfId="5" xr:uid="{EDFD41A6-37B4-4E2E-9599-A0D9BEF72C23}"/>
    <cellStyle name="bpm_link" xfId="6" xr:uid="{CE01930C-712B-48E3-89C8-0C44014E702E}"/>
    <cellStyle name="bpm_t1" xfId="1" xr:uid="{18255B02-DF5A-4CA6-9262-1401376999F5}"/>
    <cellStyle name="bpm_t2" xfId="2" xr:uid="{89926B9E-B154-4F5C-BD79-FA629AFCEFC3}"/>
    <cellStyle name="Comma" xfId="57" builtinId="3"/>
    <cellStyle name="Comma 2" xfId="27" xr:uid="{CA58D2D0-0104-4F6E-B170-08D85C319A35}"/>
    <cellStyle name="Comma 3" xfId="49" xr:uid="{4EDC72F0-455B-4A5E-A674-BF2B4619ED68}"/>
    <cellStyle name="Comma 4" xfId="11" xr:uid="{2174E3EC-F734-4F71-AE4E-95876FEB900E}"/>
    <cellStyle name="Currency" xfId="9" builtinId="4"/>
    <cellStyle name="Currency 2" xfId="12" xr:uid="{A6CB5582-817C-4903-A879-3CA62E78BB65}"/>
    <cellStyle name="Currency 2 2" xfId="30" xr:uid="{05243019-E77A-4922-A55D-3475B1320C7E}"/>
    <cellStyle name="Hyperlink" xfId="7" builtinId="8"/>
    <cellStyle name="Hyperlink 2" xfId="37" xr:uid="{941BACC4-B9E0-4AE0-BA18-C25B5B4FBBCB}"/>
    <cellStyle name="Hyperlink 3" xfId="35" xr:uid="{89B4CCF1-6171-4CD1-8AA0-1CBAB1755101}"/>
    <cellStyle name="Input" xfId="58" builtinId="20"/>
    <cellStyle name="Normal" xfId="0" builtinId="0"/>
    <cellStyle name="Normal 10" xfId="41" xr:uid="{C7700878-9B86-42CA-9CE6-7C84BD0B7ADE}"/>
    <cellStyle name="Normal 11" xfId="10" xr:uid="{1FDDA00D-3595-4E53-9B37-AFCFC31C73B1}"/>
    <cellStyle name="Normal 2" xfId="13" xr:uid="{13D75DBB-F82B-4448-9206-917B8AF9A67B}"/>
    <cellStyle name="Normal 2 2" xfId="23" xr:uid="{413EC6D4-9F64-4F85-A0FD-A0F7A65D7107}"/>
    <cellStyle name="Normal 3" xfId="14" xr:uid="{06E9F82E-3CA8-4DCC-8CBC-5549E700D2BA}"/>
    <cellStyle name="Normal 3 2" xfId="24" xr:uid="{02510564-820D-4C41-BB1F-A6B94A53E54E}"/>
    <cellStyle name="Normal 3 2 2" xfId="47" xr:uid="{FA8A2C66-5195-43E7-A851-0AEF3CA87009}"/>
    <cellStyle name="Normal 3 2 2 2" xfId="51" xr:uid="{5F261B04-A6CC-4B04-9800-9279DF655ADC}"/>
    <cellStyle name="Normal 3 2 2 3" xfId="54" xr:uid="{6BCD5877-64FC-4853-8189-7312707290D3}"/>
    <cellStyle name="Normal 3 3" xfId="31" xr:uid="{EB72D9AF-E866-4071-8846-2867123A836E}"/>
    <cellStyle name="Normal 3 4" xfId="25" xr:uid="{2C557D59-11B4-4205-8183-D717F87629B8}"/>
    <cellStyle name="Normal 3 4 2" xfId="46" xr:uid="{ED48FCF4-80B7-4E5E-A601-C312FE4F6914}"/>
    <cellStyle name="Normal 3 4 2 2" xfId="50" xr:uid="{0BACF2BD-5D1D-4C26-A6FD-823A5797FBB1}"/>
    <cellStyle name="Normal 3 4 2 3" xfId="53" xr:uid="{7A495E70-C3DB-4C70-8A5E-B726F935AD89}"/>
    <cellStyle name="Normal 4" xfId="15" xr:uid="{4652A48B-86F2-43AC-B3AA-9E465B69D2BA}"/>
    <cellStyle name="Normal 5" xfId="16" xr:uid="{BB0F1B31-17BC-4F3E-B92C-92CB67155067}"/>
    <cellStyle name="Normal 5 2" xfId="28" xr:uid="{B2C66A0D-5049-47BD-ACEC-792BD489BFBA}"/>
    <cellStyle name="Normal 6" xfId="17" xr:uid="{28EF5DEE-44BA-4554-B8D1-809852D857B4}"/>
    <cellStyle name="Normal 7" xfId="29" xr:uid="{9830C7EB-BF58-442A-884A-33FBAD40FFED}"/>
    <cellStyle name="Normal 7 2" xfId="40" xr:uid="{D8F83940-5970-4661-86C3-E9C3A024A029}"/>
    <cellStyle name="Normal 7 2 2" xfId="45" xr:uid="{8EAB6463-1D3A-45E8-896C-18B08DD709EF}"/>
    <cellStyle name="Normal 7 2 3" xfId="56" xr:uid="{DB62052D-4CBF-4DD0-84CF-706EC5C10F5B}"/>
    <cellStyle name="Normal 8" xfId="36" xr:uid="{2EC72C12-74C5-4609-9BC4-6EFEF3878B00}"/>
    <cellStyle name="Normal 9" xfId="38" xr:uid="{700388D9-22E5-48D6-828E-510BCA9F0B02}"/>
    <cellStyle name="Normal 9 2" xfId="44" xr:uid="{42D7FA20-D77B-448A-8A21-A4BEBAE527EA}"/>
    <cellStyle name="Percent" xfId="8" builtinId="5"/>
    <cellStyle name="Percent 2" xfId="18" xr:uid="{70F539EE-55F3-4717-94EA-B4F1E199E039}"/>
    <cellStyle name="Percent 2 2" xfId="32" xr:uid="{9276F450-7121-494A-8D6D-CEE4F4057426}"/>
    <cellStyle name="Percent 3" xfId="19" xr:uid="{8EDD328D-BE52-4483-B3C3-FD370F002E0A}"/>
    <cellStyle name="Percent 3 2" xfId="26" xr:uid="{CE407244-7288-463E-B36D-01FC13A54237}"/>
    <cellStyle name="Percent 3 2 2" xfId="48" xr:uid="{B5F432E2-2CD8-42A9-9F89-4CCAAB71EE0C}"/>
    <cellStyle name="Percent 3 2 2 2" xfId="52" xr:uid="{42F77576-4D1B-4FE8-A3D6-FF90CDBCC86A}"/>
    <cellStyle name="Percent 3 2 2 3" xfId="55" xr:uid="{6669DBA0-C51C-487F-85E9-62576DE3D7E7}"/>
    <cellStyle name="Percent 3 3" xfId="33" xr:uid="{CD83B1D2-5A28-460D-95A9-BB001100BD8B}"/>
    <cellStyle name="Percent 4" xfId="22" xr:uid="{519F00CC-F3B6-45A0-A550-29224B5C0937}"/>
    <cellStyle name="Percent 5" xfId="39" xr:uid="{13D3CF04-0798-4EA9-986C-4F3B34FA8ADC}"/>
    <cellStyle name="Percent 5 2" xfId="42" xr:uid="{D1DC3374-CC1A-4812-85CA-945D512D5BE8}"/>
    <cellStyle name="Percent 6" xfId="43" xr:uid="{48997BD1-0D1C-4FE2-9BEA-B517C5958FAD}"/>
    <cellStyle name="Percent 7" xfId="21" xr:uid="{3BF7EDE4-C89E-4F91-8818-D17429285AA3}"/>
    <cellStyle name="Style 1" xfId="20" xr:uid="{C56F0E0F-FC02-49EA-A2BD-13C3C28187AB}"/>
    <cellStyle name="Style 1 2" xfId="34" xr:uid="{E1BC9E2D-366F-4280-80CE-0847E8D12960}"/>
  </cellStyles>
  <dxfs count="3">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Medium9"/>
  <colors>
    <mruColors>
      <color rgb="FFEFF3FF"/>
      <color rgb="FFFFFFCC"/>
      <color rgb="FFFFF1DD"/>
      <color rgb="FFF0FD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Dashboard!$L$25</c:f>
          <c:strCache>
            <c:ptCount val="1"/>
            <c:pt idx="0">
              <c:v>Ontario Installed Capex (CA$2022/kW)</c:v>
            </c:pt>
          </c:strCache>
        </c:strRef>
      </c:tx>
      <c:overlay val="0"/>
      <c:spPr>
        <a:noFill/>
        <a:ln>
          <a:noFill/>
        </a:ln>
        <a:effectLst/>
      </c:spPr>
      <c:txPr>
        <a:bodyPr rot="0" spcFirstLastPara="1" vertOverflow="ellipsis" vert="horz" wrap="square" anchor="ctr" anchorCtr="1"/>
        <a:lstStyle/>
        <a:p>
          <a:pPr>
            <a:defRPr sz="1050" b="0" i="0" u="none" strike="noStrike" kern="1200" spc="0" baseline="0">
              <a:solidFill>
                <a:srgbClr val="002060"/>
              </a:solidFill>
              <a:latin typeface="Arial Nova Light" panose="020B0304020202020204" pitchFamily="34" charset="0"/>
              <a:ea typeface="+mn-ea"/>
              <a:cs typeface="+mn-cs"/>
            </a:defRPr>
          </a:pPr>
          <a:endParaRPr lang="en-US"/>
        </a:p>
      </c:txPr>
    </c:title>
    <c:autoTitleDeleted val="0"/>
    <c:plotArea>
      <c:layout>
        <c:manualLayout>
          <c:layoutTarget val="inner"/>
          <c:xMode val="edge"/>
          <c:yMode val="edge"/>
          <c:x val="0.17134116100130181"/>
          <c:y val="0.16045351473922903"/>
          <c:w val="0.63932623701764757"/>
          <c:h val="0.49885489031608748"/>
        </c:manualLayout>
      </c:layout>
      <c:lineChart>
        <c:grouping val="standard"/>
        <c:varyColors val="0"/>
        <c:ser>
          <c:idx val="0"/>
          <c:order val="0"/>
          <c:tx>
            <c:strRef>
              <c:f>Dashboard!$M$26</c:f>
              <c:strCache>
                <c:ptCount val="1"/>
                <c:pt idx="0">
                  <c:v>Wind</c:v>
                </c:pt>
              </c:strCache>
            </c:strRef>
          </c:tx>
          <c:spPr>
            <a:ln w="19050" cap="rnd">
              <a:solidFill>
                <a:schemeClr val="accent1"/>
              </a:solidFill>
              <a:round/>
            </a:ln>
            <a:effectLst/>
          </c:spPr>
          <c:marker>
            <c:symbol val="none"/>
          </c:marker>
          <c:dLbls>
            <c:dLbl>
              <c:idx val="13"/>
              <c:layout>
                <c:manualLayout>
                  <c:x val="0.1509467618002194"/>
                  <c:y val="3.2387938571972155E-2"/>
                </c:manualLayout>
              </c:layout>
              <c:spPr>
                <a:noFill/>
                <a:ln>
                  <a:noFill/>
                </a:ln>
                <a:effectLst/>
              </c:spPr>
              <c:txPr>
                <a:bodyPr rot="0" spcFirstLastPara="1" vertOverflow="ellipsis" vert="horz" wrap="square" lIns="38100" tIns="19050" rIns="38100" bIns="19050" anchor="ctr" anchorCtr="0">
                  <a:spAutoFit/>
                </a:bodyPr>
                <a:lstStyle/>
                <a:p>
                  <a:pPr algn="r">
                    <a:defRPr sz="600" b="1" i="0" u="none" strike="noStrike" kern="1200" baseline="0">
                      <a:solidFill>
                        <a:schemeClr val="accent1"/>
                      </a:solidFill>
                      <a:latin typeface="Arial Nova Light" panose="020B0304020202020204" pitchFamily="34" charset="0"/>
                      <a:ea typeface="+mn-ea"/>
                      <a:cs typeface="+mn-cs"/>
                    </a:defRPr>
                  </a:pPr>
                  <a:endParaRPr lang="en-US"/>
                </a:p>
              </c:txP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1-B047-4F79-BFF7-7D76501496FF}"/>
                </c:ext>
              </c:extLst>
            </c:dLbl>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Arial Nova Light" panose="020B0304020202020204" pitchFamily="34" charset="0"/>
                    <a:ea typeface="+mn-ea"/>
                    <a:cs typeface="+mn-cs"/>
                  </a:defRPr>
                </a:pPr>
                <a:endParaRPr lang="en-US"/>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Dashboard!$N$25:$AA$25</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Dashboard!$N$26:$AA$26</c:f>
              <c:numCache>
                <c:formatCode>_-"$"* #,##0_-;\-"$"* #,##0_-;_-"$"* "-"??_-;_-@_-</c:formatCode>
                <c:ptCount val="14"/>
                <c:pt idx="0">
                  <c:v>2005.6968432298672</c:v>
                </c:pt>
                <c:pt idx="1">
                  <c:v>1955.1678847441244</c:v>
                </c:pt>
                <c:pt idx="2">
                  <c:v>1901.6310064283089</c:v>
                </c:pt>
                <c:pt idx="3">
                  <c:v>1844.2161260273269</c:v>
                </c:pt>
                <c:pt idx="4">
                  <c:v>1782.0768551253848</c:v>
                </c:pt>
                <c:pt idx="5">
                  <c:v>1749.4175821849865</c:v>
                </c:pt>
                <c:pt idx="6">
                  <c:v>1711.9258085455492</c:v>
                </c:pt>
                <c:pt idx="7">
                  <c:v>1668.8915480631126</c:v>
                </c:pt>
                <c:pt idx="8">
                  <c:v>1619.7152920118656</c:v>
                </c:pt>
                <c:pt idx="9">
                  <c:v>1563.9474838206327</c:v>
                </c:pt>
                <c:pt idx="10">
                  <c:v>1538.8593395275416</c:v>
                </c:pt>
                <c:pt idx="11">
                  <c:v>1469.489948244066</c:v>
                </c:pt>
                <c:pt idx="12">
                  <c:v>1431.8710468849861</c:v>
                </c:pt>
                <c:pt idx="13">
                  <c:v>1355.824227631364</c:v>
                </c:pt>
              </c:numCache>
            </c:numRef>
          </c:val>
          <c:smooth val="0"/>
          <c:extLst xmlns:c15="http://schemas.microsoft.com/office/drawing/2012/chart">
            <c:ext xmlns:c16="http://schemas.microsoft.com/office/drawing/2014/chart" uri="{C3380CC4-5D6E-409C-BE32-E72D297353CC}">
              <c16:uniqueId val="{00000000-86A4-43C4-BAFB-C541F16640A8}"/>
            </c:ext>
          </c:extLst>
        </c:ser>
        <c:ser>
          <c:idx val="1"/>
          <c:order val="1"/>
          <c:tx>
            <c:strRef>
              <c:f>Dashboard!$M$27</c:f>
              <c:strCache>
                <c:ptCount val="1"/>
                <c:pt idx="0">
                  <c:v>Solar</c:v>
                </c:pt>
              </c:strCache>
            </c:strRef>
          </c:tx>
          <c:spPr>
            <a:ln w="19050" cap="rnd">
              <a:solidFill>
                <a:schemeClr val="accent2"/>
              </a:solidFill>
              <a:round/>
            </a:ln>
            <a:effectLst/>
          </c:spPr>
          <c:marker>
            <c:symbol val="none"/>
          </c:marker>
          <c:dLbls>
            <c:dLbl>
              <c:idx val="13"/>
              <c:layout>
                <c:manualLayout>
                  <c:x val="0.12749271616468461"/>
                  <c:y val="1.8238853439662795E-2"/>
                </c:manualLayout>
              </c:layout>
              <c:spPr>
                <a:noFill/>
                <a:ln>
                  <a:noFill/>
                </a:ln>
                <a:effectLst/>
              </c:spPr>
              <c:txPr>
                <a:bodyPr rot="0" spcFirstLastPara="1" vertOverflow="ellipsis" vert="horz" wrap="square" lIns="38100" tIns="19050" rIns="38100" bIns="19050" anchor="ctr" anchorCtr="0">
                  <a:spAutoFit/>
                </a:bodyPr>
                <a:lstStyle/>
                <a:p>
                  <a:pPr algn="r">
                    <a:defRPr sz="600" b="1" i="0" u="none" strike="noStrike" kern="1200" baseline="0">
                      <a:solidFill>
                        <a:schemeClr val="accent2"/>
                      </a:solidFill>
                      <a:latin typeface="Arial Nova Light" panose="020B0304020202020204" pitchFamily="34" charset="0"/>
                      <a:ea typeface="+mn-ea"/>
                      <a:cs typeface="+mn-cs"/>
                    </a:defRPr>
                  </a:pPr>
                  <a:endParaRPr lang="en-US"/>
                </a:p>
              </c:txP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0-B047-4F79-BFF7-7D76501496FF}"/>
                </c:ext>
              </c:extLst>
            </c:dLbl>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Arial Nova Light" panose="020B0304020202020204" pitchFamily="34" charset="0"/>
                    <a:ea typeface="+mn-ea"/>
                    <a:cs typeface="+mn-cs"/>
                  </a:defRPr>
                </a:pPr>
                <a:endParaRPr lang="en-US"/>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Dashboard!$N$25:$AA$25</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Dashboard!$N$27:$AA$27</c:f>
              <c:numCache>
                <c:formatCode>_-"$"* #,##0_-;\-"$"* #,##0_-;_-"$"* "-"??_-;_-@_-</c:formatCode>
                <c:ptCount val="14"/>
                <c:pt idx="0">
                  <c:v>1679.1485206606064</c:v>
                </c:pt>
                <c:pt idx="1">
                  <c:v>1547.8193294020814</c:v>
                </c:pt>
                <c:pt idx="2">
                  <c:v>1473.5170095029735</c:v>
                </c:pt>
                <c:pt idx="3">
                  <c:v>1423.0541872038846</c:v>
                </c:pt>
                <c:pt idx="4">
                  <c:v>1385.7926611492744</c:v>
                </c:pt>
                <c:pt idx="5">
                  <c:v>1356.9388409444252</c:v>
                </c:pt>
                <c:pt idx="6">
                  <c:v>1333.9202527662219</c:v>
                </c:pt>
                <c:pt idx="7">
                  <c:v>1315.1971349840612</c:v>
                </c:pt>
                <c:pt idx="8">
                  <c:v>1299.7757269822241</c:v>
                </c:pt>
                <c:pt idx="9">
                  <c:v>1286.9781653807593</c:v>
                </c:pt>
                <c:pt idx="10">
                  <c:v>1276.3220396401146</c:v>
                </c:pt>
                <c:pt idx="11">
                  <c:v>1267.4523369960866</c:v>
                </c:pt>
                <c:pt idx="12">
                  <c:v>1260.1006201616863</c:v>
                </c:pt>
                <c:pt idx="13">
                  <c:v>1254.0593329238075</c:v>
                </c:pt>
              </c:numCache>
            </c:numRef>
          </c:val>
          <c:smooth val="0"/>
          <c:extLst xmlns:c15="http://schemas.microsoft.com/office/drawing/2012/chart">
            <c:ext xmlns:c16="http://schemas.microsoft.com/office/drawing/2014/chart" uri="{C3380CC4-5D6E-409C-BE32-E72D297353CC}">
              <c16:uniqueId val="{00000001-86A4-43C4-BAFB-C541F16640A8}"/>
            </c:ext>
          </c:extLst>
        </c:ser>
        <c:ser>
          <c:idx val="2"/>
          <c:order val="2"/>
          <c:tx>
            <c:strRef>
              <c:f>Dashboard!$M$28</c:f>
              <c:strCache>
                <c:ptCount val="1"/>
                <c:pt idx="0">
                  <c:v>Energy Storage (8hr)</c:v>
                </c:pt>
              </c:strCache>
            </c:strRef>
          </c:tx>
          <c:spPr>
            <a:ln w="19050" cap="rnd">
              <a:solidFill>
                <a:schemeClr val="accent6">
                  <a:lumMod val="75000"/>
                </a:schemeClr>
              </a:solidFill>
              <a:prstDash val="lgDash"/>
              <a:round/>
            </a:ln>
            <a:effectLst/>
          </c:spPr>
          <c:marker>
            <c:symbol val="none"/>
          </c:marker>
          <c:dLbls>
            <c:dLbl>
              <c:idx val="13"/>
              <c:layout>
                <c:manualLayout>
                  <c:x val="0"/>
                  <c:y val="-6.452194302825032E-3"/>
                </c:manualLayout>
              </c:layout>
              <c:spPr>
                <a:noFill/>
                <a:ln>
                  <a:noFill/>
                </a:ln>
                <a:effectLst/>
              </c:spPr>
              <c:txPr>
                <a:bodyPr rot="0" spcFirstLastPara="1" vertOverflow="ellipsis" vert="horz" wrap="square" lIns="38100" tIns="19050" rIns="38100" bIns="19050" anchor="ctr" anchorCtr="0">
                  <a:noAutofit/>
                </a:bodyPr>
                <a:lstStyle/>
                <a:p>
                  <a:pPr algn="r">
                    <a:defRPr sz="600" b="1" i="0" u="none" strike="noStrike" kern="1200" baseline="0">
                      <a:solidFill>
                        <a:schemeClr val="accent6">
                          <a:lumMod val="50000"/>
                        </a:schemeClr>
                      </a:solidFill>
                      <a:latin typeface="Arial Nova Light" panose="020B0304020202020204" pitchFamily="34" charset="0"/>
                      <a:ea typeface="+mn-ea"/>
                      <a:cs typeface="+mn-cs"/>
                    </a:defRPr>
                  </a:pPr>
                  <a:endParaRPr lang="en-US"/>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1060199062737478"/>
                      <c:h val="4.7077632930817813E-2"/>
                    </c:manualLayout>
                  </c15:layout>
                </c:ext>
                <c:ext xmlns:c16="http://schemas.microsoft.com/office/drawing/2014/chart" uri="{C3380CC4-5D6E-409C-BE32-E72D297353CC}">
                  <c16:uniqueId val="{00000002-E139-48E5-B4F5-930D0AC4F5E1}"/>
                </c:ext>
              </c:extLst>
            </c:dLbl>
            <c:spPr>
              <a:noFill/>
              <a:ln>
                <a:noFill/>
              </a:ln>
              <a:effectLst/>
            </c:spPr>
            <c:txPr>
              <a:bodyPr rot="0" spcFirstLastPara="1" vertOverflow="ellipsis" vert="horz" wrap="square" lIns="38100" tIns="19050" rIns="38100" bIns="19050" anchor="ctr" anchorCtr="0">
                <a:spAutoFit/>
              </a:bodyPr>
              <a:lstStyle/>
              <a:p>
                <a:pPr algn="r">
                  <a:defRPr sz="1000" b="0" i="0" u="none" strike="noStrike" kern="1200" baseline="0">
                    <a:solidFill>
                      <a:schemeClr val="tx1">
                        <a:lumMod val="75000"/>
                        <a:lumOff val="25000"/>
                      </a:schemeClr>
                    </a:solidFill>
                    <a:latin typeface="Arial Nova Light" panose="020B0304020202020204" pitchFamily="34" charset="0"/>
                    <a:ea typeface="+mn-ea"/>
                    <a:cs typeface="+mn-cs"/>
                  </a:defRPr>
                </a:pPr>
                <a:endParaRPr lang="en-US"/>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Dashboard!$N$25:$AA$25</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Dashboard!$N$28:$AA$28</c:f>
              <c:numCache>
                <c:formatCode>_-"$"* #,##0_-;\-"$"* #,##0_-;_-"$"* "-"??_-;_-@_-</c:formatCode>
                <c:ptCount val="14"/>
                <c:pt idx="0">
                  <c:v>5224.6783366497402</c:v>
                </c:pt>
                <c:pt idx="1">
                  <c:v>4810.3303094746025</c:v>
                </c:pt>
                <c:pt idx="2">
                  <c:v>4500.643096885934</c:v>
                </c:pt>
                <c:pt idx="3">
                  <c:v>4251.0268799937367</c:v>
                </c:pt>
                <c:pt idx="4">
                  <c:v>4041.506419519038</c:v>
                </c:pt>
                <c:pt idx="5">
                  <c:v>3861.0534419044725</c:v>
                </c:pt>
                <c:pt idx="6">
                  <c:v>3702.8048782527853</c:v>
                </c:pt>
                <c:pt idx="7">
                  <c:v>3562.1417902343474</c:v>
                </c:pt>
                <c:pt idx="8">
                  <c:v>3435.7796611753215</c:v>
                </c:pt>
                <c:pt idx="9">
                  <c:v>3321.285979997815</c:v>
                </c:pt>
                <c:pt idx="10">
                  <c:v>3216.8021761045989</c:v>
                </c:pt>
                <c:pt idx="11">
                  <c:v>3120.8727526443486</c:v>
                </c:pt>
                <c:pt idx="12">
                  <c:v>3032.3348487884718</c:v>
                </c:pt>
                <c:pt idx="13">
                  <c:v>2915.6699152516153</c:v>
                </c:pt>
              </c:numCache>
            </c:numRef>
          </c:val>
          <c:smooth val="0"/>
          <c:extLst xmlns:c15="http://schemas.microsoft.com/office/drawing/2012/chart">
            <c:ext xmlns:c16="http://schemas.microsoft.com/office/drawing/2014/chart" uri="{C3380CC4-5D6E-409C-BE32-E72D297353CC}">
              <c16:uniqueId val="{00000002-86A4-43C4-BAFB-C541F16640A8}"/>
            </c:ext>
          </c:extLst>
        </c:ser>
        <c:ser>
          <c:idx val="3"/>
          <c:order val="3"/>
          <c:tx>
            <c:strRef>
              <c:f>Dashboard!$M$29</c:f>
              <c:strCache>
                <c:ptCount val="1"/>
                <c:pt idx="0">
                  <c:v>Solar + ES (8hr)</c:v>
                </c:pt>
              </c:strCache>
            </c:strRef>
          </c:tx>
          <c:spPr>
            <a:ln w="19050" cap="rnd">
              <a:solidFill>
                <a:schemeClr val="accent2"/>
              </a:solidFill>
              <a:prstDash val="sysDash"/>
              <a:round/>
            </a:ln>
            <a:effectLst/>
          </c:spPr>
          <c:marker>
            <c:symbol val="none"/>
          </c:marker>
          <c:dLbls>
            <c:dLbl>
              <c:idx val="13"/>
              <c:layout>
                <c:manualLayout>
                  <c:x val="2.5387755425145656E-2"/>
                  <c:y val="-6.8974444255944711E-3"/>
                </c:manualLayout>
              </c:layout>
              <c:spPr>
                <a:noFill/>
                <a:ln>
                  <a:noFill/>
                </a:ln>
                <a:effectLst/>
              </c:spPr>
              <c:txPr>
                <a:bodyPr rot="0" spcFirstLastPara="1" vertOverflow="ellipsis" vert="horz" wrap="square" lIns="38100" tIns="19050" rIns="38100" bIns="19050" anchor="ctr" anchorCtr="0">
                  <a:noAutofit/>
                </a:bodyPr>
                <a:lstStyle/>
                <a:p>
                  <a:pPr algn="r">
                    <a:defRPr sz="600" b="1" i="0" u="none" strike="noStrike" kern="1200" baseline="0">
                      <a:solidFill>
                        <a:schemeClr val="accent2"/>
                      </a:solidFill>
                      <a:latin typeface="Arial Nova Light" panose="020B0304020202020204" pitchFamily="34" charset="0"/>
                      <a:ea typeface="+mn-ea"/>
                      <a:cs typeface="+mn-cs"/>
                    </a:defRPr>
                  </a:pPr>
                  <a:endParaRPr lang="en-US"/>
                </a:p>
              </c:txPr>
              <c:showLegendKey val="0"/>
              <c:showVal val="0"/>
              <c:showCatName val="0"/>
              <c:showSerName val="1"/>
              <c:showPercent val="0"/>
              <c:showBubbleSize val="0"/>
              <c:extLst>
                <c:ext xmlns:c15="http://schemas.microsoft.com/office/drawing/2012/chart" uri="{CE6537A1-D6FC-4f65-9D91-7224C49458BB}">
                  <c15:layout>
                    <c:manualLayout>
                      <c:w val="0.19419831334965801"/>
                      <c:h val="5.084026011082609E-2"/>
                    </c:manualLayout>
                  </c15:layout>
                </c:ext>
                <c:ext xmlns:c16="http://schemas.microsoft.com/office/drawing/2014/chart" uri="{C3380CC4-5D6E-409C-BE32-E72D297353CC}">
                  <c16:uniqueId val="{00000003-B047-4F79-BFF7-7D76501496FF}"/>
                </c:ext>
              </c:extLst>
            </c:dLbl>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Arial Nova Light" panose="020B03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noFill/>
                      <a:round/>
                    </a:ln>
                    <a:effectLst/>
                  </c:spPr>
                </c15:leaderLines>
              </c:ext>
            </c:extLst>
          </c:dLbls>
          <c:cat>
            <c:numRef>
              <c:f>Dashboard!$N$25:$AA$25</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Dashboard!$N$29:$AA$29</c:f>
              <c:numCache>
                <c:formatCode>_-"$"* #,##0_-;\-"$"* #,##0_-;_-"$"* "-"??_-;_-@_-</c:formatCode>
                <c:ptCount val="14"/>
                <c:pt idx="0">
                  <c:v>5547.4278129470131</c:v>
                </c:pt>
                <c:pt idx="1">
                  <c:v>5131.8996615358155</c:v>
                </c:pt>
                <c:pt idx="2">
                  <c:v>4841.253984747259</c:v>
                </c:pt>
                <c:pt idx="3">
                  <c:v>4613.3145840793959</c:v>
                </c:pt>
                <c:pt idx="4">
                  <c:v>4424.6716615827727</c:v>
                </c:pt>
                <c:pt idx="5">
                  <c:v>4284.139591655211</c:v>
                </c:pt>
                <c:pt idx="6">
                  <c:v>4162.8560756548613</c:v>
                </c:pt>
                <c:pt idx="7">
                  <c:v>4056.4547530205982</c:v>
                </c:pt>
                <c:pt idx="8">
                  <c:v>3961.9383575832203</c:v>
                </c:pt>
                <c:pt idx="9">
                  <c:v>3877.1487203043462</c:v>
                </c:pt>
                <c:pt idx="10">
                  <c:v>3800.474351167943</c:v>
                </c:pt>
                <c:pt idx="11">
                  <c:v>3730.6771333104139</c:v>
                </c:pt>
                <c:pt idx="12">
                  <c:v>3666.7836949244956</c:v>
                </c:pt>
                <c:pt idx="13">
                  <c:v>3588.4988447812225</c:v>
                </c:pt>
              </c:numCache>
            </c:numRef>
          </c:val>
          <c:smooth val="0"/>
          <c:extLst>
            <c:ext xmlns:c16="http://schemas.microsoft.com/office/drawing/2014/chart" uri="{C3380CC4-5D6E-409C-BE32-E72D297353CC}">
              <c16:uniqueId val="{00000003-86A4-43C4-BAFB-C541F16640A8}"/>
            </c:ext>
          </c:extLst>
        </c:ser>
        <c:ser>
          <c:idx val="4"/>
          <c:order val="4"/>
          <c:tx>
            <c:strRef>
              <c:f>Dashboard!$M$30</c:f>
              <c:strCache>
                <c:ptCount val="1"/>
                <c:pt idx="0">
                  <c:v>Wind + ES (8hr)</c:v>
                </c:pt>
              </c:strCache>
            </c:strRef>
          </c:tx>
          <c:spPr>
            <a:ln w="19050" cap="rnd">
              <a:solidFill>
                <a:schemeClr val="accent1"/>
              </a:solidFill>
              <a:prstDash val="sysDash"/>
              <a:round/>
            </a:ln>
            <a:effectLst/>
          </c:spPr>
          <c:marker>
            <c:symbol val="none"/>
          </c:marker>
          <c:dLbls>
            <c:dLbl>
              <c:idx val="13"/>
              <c:layout>
                <c:manualLayout>
                  <c:x val="6.0071350164654223E-2"/>
                  <c:y val="-9.8382754554884929E-3"/>
                </c:manualLayout>
              </c:layout>
              <c:tx>
                <c:rich>
                  <a:bodyPr rot="0" spcFirstLastPara="1" vertOverflow="ellipsis" vert="horz" wrap="square" lIns="38100" tIns="19050" rIns="38100" bIns="19050" anchor="ctr" anchorCtr="0">
                    <a:spAutoFit/>
                  </a:bodyPr>
                  <a:lstStyle/>
                  <a:p>
                    <a:pPr algn="r">
                      <a:defRPr sz="600" b="1" i="0" u="none" strike="noStrike" kern="1200" baseline="0">
                        <a:solidFill>
                          <a:schemeClr val="accent1"/>
                        </a:solidFill>
                        <a:latin typeface="Arial Nova Light" panose="020B0304020202020204" pitchFamily="34" charset="0"/>
                        <a:ea typeface="+mn-ea"/>
                        <a:cs typeface="+mn-cs"/>
                      </a:defRPr>
                    </a:pPr>
                    <a:fld id="{5DB5E29E-5075-4E4C-BCB1-861874BBE4F6}" type="SERIESNAME">
                      <a:rPr lang="en-US" sz="600" b="1">
                        <a:solidFill>
                          <a:schemeClr val="accent1"/>
                        </a:solidFill>
                      </a:rPr>
                      <a:pPr algn="r">
                        <a:defRPr sz="600" b="1">
                          <a:solidFill>
                            <a:schemeClr val="accent1"/>
                          </a:solidFill>
                        </a:defRPr>
                      </a:pPr>
                      <a:t>[SERIES NAME]</a:t>
                    </a:fld>
                    <a:endParaRPr lang="en-US"/>
                  </a:p>
                </c:rich>
              </c:tx>
              <c:spPr>
                <a:noFill/>
                <a:ln>
                  <a:noFill/>
                </a:ln>
                <a:effectLst/>
              </c:spPr>
              <c:txPr>
                <a:bodyPr rot="0" spcFirstLastPara="1" vertOverflow="ellipsis" vert="horz" wrap="square" lIns="38100" tIns="19050" rIns="38100" bIns="19050" anchor="ctr" anchorCtr="0">
                  <a:spAutoFit/>
                </a:bodyPr>
                <a:lstStyle/>
                <a:p>
                  <a:pPr algn="r">
                    <a:defRPr sz="600" b="1" i="0" u="none" strike="noStrike" kern="1200" baseline="0">
                      <a:solidFill>
                        <a:schemeClr val="accent1"/>
                      </a:solidFill>
                      <a:latin typeface="Arial Nova Light" panose="020B0304020202020204" pitchFamily="34" charset="0"/>
                      <a:ea typeface="+mn-ea"/>
                      <a:cs typeface="+mn-cs"/>
                    </a:defRPr>
                  </a:pPr>
                  <a:endParaRPr lang="en-US"/>
                </a:p>
              </c:txPr>
              <c:showLegendKey val="0"/>
              <c:showVal val="0"/>
              <c:showCatName val="0"/>
              <c:showSerName val="1"/>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B047-4F79-BFF7-7D76501496FF}"/>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Nova Light" panose="020B03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noFill/>
                      <a:round/>
                    </a:ln>
                    <a:effectLst/>
                  </c:spPr>
                </c15:leaderLines>
              </c:ext>
            </c:extLst>
          </c:dLbls>
          <c:cat>
            <c:numRef>
              <c:f>Dashboard!$N$25:$AA$25</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Dashboard!$N$30:$AA$30</c:f>
              <c:numCache>
                <c:formatCode>_-"$"* #,##0_-;\-"$"* #,##0_-;_-"$"* "-"??_-;_-@_-</c:formatCode>
                <c:ptCount val="14"/>
                <c:pt idx="0">
                  <c:v>5315.9385958670418</c:v>
                </c:pt>
                <c:pt idx="1">
                  <c:v>5040.6991692439715</c:v>
                </c:pt>
                <c:pt idx="2">
                  <c:v>4813.78097002089</c:v>
                </c:pt>
                <c:pt idx="3">
                  <c:v>4613.3271605571881</c:v>
                </c:pt>
                <c:pt idx="4">
                  <c:v>4428.8486504569983</c:v>
                </c:pt>
                <c:pt idx="5">
                  <c:v>4309.7738635799387</c:v>
                </c:pt>
                <c:pt idx="6">
                  <c:v>4196.4655389598311</c:v>
                </c:pt>
                <c:pt idx="7">
                  <c:v>4086.0183880360792</c:v>
                </c:pt>
                <c:pt idx="8">
                  <c:v>3976.2691078753201</c:v>
                </c:pt>
                <c:pt idx="9">
                  <c:v>3865.6084674274507</c:v>
                </c:pt>
                <c:pt idx="10">
                  <c:v>3790.4207134117837</c:v>
                </c:pt>
                <c:pt idx="11">
                  <c:v>3675.0497515055818</c:v>
                </c:pt>
                <c:pt idx="12">
                  <c:v>3594.9715323987098</c:v>
                </c:pt>
                <c:pt idx="13">
                  <c:v>3463.188280550808</c:v>
                </c:pt>
              </c:numCache>
            </c:numRef>
          </c:val>
          <c:smooth val="0"/>
          <c:extLst>
            <c:ext xmlns:c16="http://schemas.microsoft.com/office/drawing/2014/chart" uri="{C3380CC4-5D6E-409C-BE32-E72D297353CC}">
              <c16:uniqueId val="{00000004-86A4-43C4-BAFB-C541F16640A8}"/>
            </c:ext>
          </c:extLst>
        </c:ser>
        <c:ser>
          <c:idx val="5"/>
          <c:order val="5"/>
          <c:tx>
            <c:strRef>
              <c:f>Dashboard!$M$31</c:f>
              <c:strCache>
                <c:ptCount val="1"/>
                <c:pt idx="0">
                  <c:v>Gas Peaker</c:v>
                </c:pt>
              </c:strCache>
            </c:strRef>
          </c:tx>
          <c:spPr>
            <a:ln w="19050" cap="rnd">
              <a:solidFill>
                <a:schemeClr val="tx1"/>
              </a:solidFill>
              <a:prstDash val="sysDot"/>
              <a:round/>
            </a:ln>
            <a:effectLst/>
          </c:spPr>
          <c:marker>
            <c:symbol val="none"/>
          </c:marker>
          <c:dLbls>
            <c:dLbl>
              <c:idx val="13"/>
              <c:layout>
                <c:manualLayout>
                  <c:x val="0.11729715516961797"/>
                  <c:y val="-8.6387345797427836E-3"/>
                </c:manualLayout>
              </c:layout>
              <c:spPr>
                <a:noFill/>
                <a:ln>
                  <a:noFill/>
                </a:ln>
                <a:effectLst/>
              </c:spPr>
              <c:txPr>
                <a:bodyPr rot="0" spcFirstLastPara="1" vertOverflow="ellipsis" vert="horz" wrap="square" lIns="38100" tIns="19050" rIns="38100" bIns="19050" anchor="ctr" anchorCtr="1">
                  <a:spAutoFit/>
                </a:bodyPr>
                <a:lstStyle/>
                <a:p>
                  <a:pPr>
                    <a:defRPr sz="600" b="1" i="0" u="none" strike="noStrike" kern="1200" baseline="0">
                      <a:solidFill>
                        <a:sysClr val="windowText" lastClr="000000"/>
                      </a:solidFill>
                      <a:latin typeface="Arial Nova Light" panose="020B0304020202020204" pitchFamily="34" charset="0"/>
                      <a:ea typeface="+mn-ea"/>
                      <a:cs typeface="+mn-cs"/>
                    </a:defRPr>
                  </a:pPr>
                  <a:endParaRPr lang="en-US"/>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E139-48E5-B4F5-930D0AC4F5E1}"/>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Arial Nova Light" panose="020B03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Dashboard!$N$25:$AA$25</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Dashboard!$N$31:$AA$31</c:f>
              <c:numCache>
                <c:formatCode>_-"$"* #,##0_-;\-"$"* #,##0_-;_-"$"* "-"??_-;_-@_-</c:formatCode>
                <c:ptCount val="14"/>
                <c:pt idx="0">
                  <c:v>1571.5777714786063</c:v>
                </c:pt>
                <c:pt idx="1">
                  <c:v>1557.563702178797</c:v>
                </c:pt>
                <c:pt idx="2">
                  <c:v>1521.5275239792877</c:v>
                </c:pt>
                <c:pt idx="3">
                  <c:v>1493.4993853796695</c:v>
                </c:pt>
                <c:pt idx="4">
                  <c:v>1477.4833061798868</c:v>
                </c:pt>
                <c:pt idx="5">
                  <c:v>1457.4632071801595</c:v>
                </c:pt>
                <c:pt idx="6">
                  <c:v>1445.4511477803235</c:v>
                </c:pt>
                <c:pt idx="7">
                  <c:v>1433.4390883804867</c:v>
                </c:pt>
                <c:pt idx="8">
                  <c:v>1425.4310487805963</c:v>
                </c:pt>
                <c:pt idx="9">
                  <c:v>1415.4209992807318</c:v>
                </c:pt>
                <c:pt idx="10">
                  <c:v>1407.4129596808409</c:v>
                </c:pt>
                <c:pt idx="11">
                  <c:v>1399.4049200809502</c:v>
                </c:pt>
                <c:pt idx="12">
                  <c:v>1393.3988903810321</c:v>
                </c:pt>
                <c:pt idx="13">
                  <c:v>1385.3908507811409</c:v>
                </c:pt>
              </c:numCache>
            </c:numRef>
          </c:val>
          <c:smooth val="0"/>
          <c:extLst>
            <c:ext xmlns:c16="http://schemas.microsoft.com/office/drawing/2014/chart" uri="{C3380CC4-5D6E-409C-BE32-E72D297353CC}">
              <c16:uniqueId val="{00000000-E139-48E5-B4F5-930D0AC4F5E1}"/>
            </c:ext>
          </c:extLst>
        </c:ser>
        <c:ser>
          <c:idx val="6"/>
          <c:order val="6"/>
          <c:tx>
            <c:strRef>
              <c:f>Dashboard!$M$32</c:f>
              <c:strCache>
                <c:ptCount val="1"/>
                <c:pt idx="0">
                  <c:v>CCGT</c:v>
                </c:pt>
              </c:strCache>
            </c:strRef>
          </c:tx>
          <c:spPr>
            <a:ln w="19050" cap="rnd">
              <a:solidFill>
                <a:schemeClr val="tx1">
                  <a:lumMod val="75000"/>
                  <a:lumOff val="25000"/>
                </a:schemeClr>
              </a:solidFill>
              <a:prstDash val="sysDash"/>
              <a:round/>
            </a:ln>
            <a:effectLst/>
          </c:spPr>
          <c:marker>
            <c:symbol val="none"/>
          </c:marker>
          <c:cat>
            <c:numRef>
              <c:f>Dashboard!$N$25:$AA$25</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Dashboard!$N$32:$AA$32</c:f>
              <c:numCache>
                <c:formatCode>_-"$"* #,##0_-;\-"$"* #,##0_-;_-"$"* "-"??_-;_-@_-</c:formatCode>
                <c:ptCount val="14"/>
                <c:pt idx="0">
                  <c:v>1816.6839759791653</c:v>
                </c:pt>
                <c:pt idx="1">
                  <c:v>1806.3969772476867</c:v>
                </c:pt>
                <c:pt idx="2">
                  <c:v>1781.7081802921375</c:v>
                </c:pt>
                <c:pt idx="3">
                  <c:v>1765.2489823217716</c:v>
                </c:pt>
                <c:pt idx="4">
                  <c:v>1752.9045838439968</c:v>
                </c:pt>
                <c:pt idx="5">
                  <c:v>1738.502785619926</c:v>
                </c:pt>
                <c:pt idx="6">
                  <c:v>1728.2157868884474</c:v>
                </c:pt>
                <c:pt idx="7">
                  <c:v>1717.9287881569683</c:v>
                </c:pt>
                <c:pt idx="8">
                  <c:v>1711.7565889180812</c:v>
                </c:pt>
                <c:pt idx="9">
                  <c:v>1701.4695901866025</c:v>
                </c:pt>
                <c:pt idx="10">
                  <c:v>1695.297390947715</c:v>
                </c:pt>
                <c:pt idx="11">
                  <c:v>1687.0677919625318</c:v>
                </c:pt>
                <c:pt idx="12">
                  <c:v>1680.8955927236445</c:v>
                </c:pt>
                <c:pt idx="13">
                  <c:v>1672.6659937384618</c:v>
                </c:pt>
              </c:numCache>
            </c:numRef>
          </c:val>
          <c:smooth val="0"/>
          <c:extLst>
            <c:ext xmlns:c16="http://schemas.microsoft.com/office/drawing/2014/chart" uri="{C3380CC4-5D6E-409C-BE32-E72D297353CC}">
              <c16:uniqueId val="{00000000-5EC8-4A16-9B91-3C8712429792}"/>
            </c:ext>
          </c:extLst>
        </c:ser>
        <c:dLbls>
          <c:showLegendKey val="0"/>
          <c:showVal val="0"/>
          <c:showCatName val="0"/>
          <c:showSerName val="0"/>
          <c:showPercent val="0"/>
          <c:showBubbleSize val="0"/>
        </c:dLbls>
        <c:smooth val="0"/>
        <c:axId val="1301862479"/>
        <c:axId val="1301852495"/>
        <c:extLst/>
      </c:lineChart>
      <c:catAx>
        <c:axId val="1301862479"/>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Arial Nova Light" panose="020B0304020202020204" pitchFamily="34" charset="0"/>
                    <a:ea typeface="+mn-ea"/>
                    <a:cs typeface="+mn-cs"/>
                  </a:defRPr>
                </a:pPr>
                <a:r>
                  <a:rPr lang="en-CA" sz="900"/>
                  <a:t>Installation</a:t>
                </a:r>
                <a:r>
                  <a:rPr lang="en-CA" sz="900" baseline="0"/>
                  <a:t> Year</a:t>
                </a:r>
                <a:endParaRPr lang="en-CA" sz="900"/>
              </a:p>
            </c:rich>
          </c:tx>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Nova Light" panose="020B0304020202020204" pitchFamily="34" charset="0"/>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ova Light" panose="020B0304020202020204" pitchFamily="34" charset="0"/>
                <a:ea typeface="+mn-ea"/>
                <a:cs typeface="+mn-cs"/>
              </a:defRPr>
            </a:pPr>
            <a:endParaRPr lang="en-US"/>
          </a:p>
        </c:txPr>
        <c:crossAx val="1301852495"/>
        <c:crosses val="autoZero"/>
        <c:auto val="1"/>
        <c:lblAlgn val="ctr"/>
        <c:lblOffset val="100"/>
        <c:noMultiLvlLbl val="0"/>
      </c:catAx>
      <c:valAx>
        <c:axId val="130185249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lumMod val="65000"/>
                        <a:lumOff val="35000"/>
                      </a:schemeClr>
                    </a:solidFill>
                    <a:latin typeface="Arial Nova Light" panose="020B0304020202020204" pitchFamily="34" charset="0"/>
                    <a:ea typeface="+mn-ea"/>
                    <a:cs typeface="+mn-cs"/>
                  </a:defRPr>
                </a:pPr>
                <a:r>
                  <a:rPr lang="en-CA" sz="800"/>
                  <a:t>Upfront Capital (CA$2022/kW)</a:t>
                </a:r>
              </a:p>
            </c:rich>
          </c:tx>
          <c:overlay val="0"/>
          <c:spPr>
            <a:noFill/>
            <a:ln>
              <a:noFill/>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Arial Nova Light" panose="020B0304020202020204" pitchFamily="34" charset="0"/>
                  <a:ea typeface="+mn-ea"/>
                  <a:cs typeface="+mn-cs"/>
                </a:defRPr>
              </a:pPr>
              <a:endParaRPr lang="en-US"/>
            </a:p>
          </c:txPr>
        </c:title>
        <c:numFmt formatCode="_-&quot;$&quot;* #,##0_-;\-&quot;$&quot;* #,##0_-;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ova Light" panose="020B0304020202020204" pitchFamily="34" charset="0"/>
                <a:ea typeface="+mn-ea"/>
                <a:cs typeface="+mn-cs"/>
              </a:defRPr>
            </a:pPr>
            <a:endParaRPr lang="en-US"/>
          </a:p>
        </c:txPr>
        <c:crossAx val="1301862479"/>
        <c:crosses val="autoZero"/>
        <c:crossBetween val="between"/>
      </c:valAx>
      <c:spPr>
        <a:noFill/>
        <a:ln>
          <a:noFill/>
        </a:ln>
        <a:effectLst/>
      </c:spPr>
    </c:plotArea>
    <c:legend>
      <c:legendPos val="b"/>
      <c:layout>
        <c:manualLayout>
          <c:xMode val="edge"/>
          <c:yMode val="edge"/>
          <c:x val="2.2835628152562338E-2"/>
          <c:y val="0.84922312061572169"/>
          <c:w val="0.95102540235328259"/>
          <c:h val="0.15077687938427825"/>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Arial Nova Light" panose="020B0304020202020204" pitchFamily="34"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50000"/>
          <a:lumOff val="50000"/>
        </a:schemeClr>
      </a:solidFill>
      <a:round/>
    </a:ln>
    <a:effectLst/>
  </c:spPr>
  <c:txPr>
    <a:bodyPr/>
    <a:lstStyle/>
    <a:p>
      <a:pPr>
        <a:defRPr sz="1000">
          <a:latin typeface="Arial Nova Light" panose="020B0304020202020204" pitchFamily="34" charset="0"/>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CA"/>
              <a:t>Solar Module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og"/>
            <c:dispRSqr val="1"/>
            <c:dispEq val="1"/>
            <c:trendlineLbl>
              <c:layout>
                <c:manualLayout>
                  <c:x val="-2.8016816250028671E-2"/>
                  <c:y val="-0.15318539727988548"/>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rendlineLbl>
          </c:trendline>
          <c:yVal>
            <c:numRef>
              <c:f>Inputs.Solar!$N$65:$AA$65</c:f>
              <c:numCache>
                <c:formatCode>"$"#,##0.00</c:formatCode>
                <c:ptCount val="14"/>
                <c:pt idx="0">
                  <c:v>6.2574028754899161E-2</c:v>
                </c:pt>
                <c:pt idx="2">
                  <c:v>5.0059223003919316E-2</c:v>
                </c:pt>
                <c:pt idx="4">
                  <c:v>5.0059223003919316E-2</c:v>
                </c:pt>
                <c:pt idx="7">
                  <c:v>3.7544417252939492E-2</c:v>
                </c:pt>
                <c:pt idx="10">
                  <c:v>3.7544417252939492E-2</c:v>
                </c:pt>
              </c:numCache>
            </c:numRef>
          </c:yVal>
          <c:smooth val="0"/>
          <c:extLst>
            <c:ext xmlns:c16="http://schemas.microsoft.com/office/drawing/2014/chart" uri="{C3380CC4-5D6E-409C-BE32-E72D297353CC}">
              <c16:uniqueId val="{00000001-2C03-4643-A779-BC6DF2A8B919}"/>
            </c:ext>
          </c:extLst>
        </c:ser>
        <c:dLbls>
          <c:showLegendKey val="0"/>
          <c:showVal val="0"/>
          <c:showCatName val="0"/>
          <c:showSerName val="0"/>
          <c:showPercent val="0"/>
          <c:showBubbleSize val="0"/>
        </c:dLbls>
        <c:axId val="878917392"/>
        <c:axId val="878936112"/>
      </c:scatterChart>
      <c:valAx>
        <c:axId val="878917392"/>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8936112"/>
        <c:crosses val="autoZero"/>
        <c:crossBetween val="midCat"/>
      </c:valAx>
      <c:valAx>
        <c:axId val="878936112"/>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8917392"/>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CA"/>
              <a:t>Module Efficiency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og"/>
            <c:dispRSqr val="1"/>
            <c:dispEq val="1"/>
            <c:trendlineLbl>
              <c:layout>
                <c:manualLayout>
                  <c:x val="7.7841897475670299E-4"/>
                  <c:y val="0.13837612768910479"/>
                </c:manualLayout>
              </c:layout>
              <c:numFmt formatCode="General"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rendlineLbl>
          </c:trendline>
          <c:yVal>
            <c:numRef>
              <c:f>Inputs.Solar!$M$224:$AA$224</c:f>
              <c:numCache>
                <c:formatCode>0%</c:formatCode>
                <c:ptCount val="15"/>
                <c:pt idx="0">
                  <c:v>0.21343544857768001</c:v>
                </c:pt>
                <c:pt idx="1">
                  <c:v>0.21606126914660798</c:v>
                </c:pt>
                <c:pt idx="3">
                  <c:v>0.22122538293216598</c:v>
                </c:pt>
                <c:pt idx="5">
                  <c:v>0.232122538293216</c:v>
                </c:pt>
                <c:pt idx="8">
                  <c:v>0.23750547045951825</c:v>
                </c:pt>
                <c:pt idx="11">
                  <c:v>0.24236323851203451</c:v>
                </c:pt>
              </c:numCache>
            </c:numRef>
          </c:yVal>
          <c:smooth val="0"/>
          <c:extLst>
            <c:ext xmlns:c16="http://schemas.microsoft.com/office/drawing/2014/chart" uri="{C3380CC4-5D6E-409C-BE32-E72D297353CC}">
              <c16:uniqueId val="{00000000-1032-445B-9790-8F7C84D8B187}"/>
            </c:ext>
          </c:extLst>
        </c:ser>
        <c:dLbls>
          <c:showLegendKey val="0"/>
          <c:showVal val="0"/>
          <c:showCatName val="0"/>
          <c:showSerName val="0"/>
          <c:showPercent val="0"/>
          <c:showBubbleSize val="0"/>
        </c:dLbls>
        <c:axId val="2082903760"/>
        <c:axId val="2082921232"/>
      </c:scatterChart>
      <c:valAx>
        <c:axId val="2082903760"/>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82921232"/>
        <c:crosses val="autoZero"/>
        <c:crossBetween val="midCat"/>
      </c:valAx>
      <c:valAx>
        <c:axId val="208292123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8290376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CA"/>
              <a:t>Strucutral BOS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Inputs.Solar!$K$81</c:f>
              <c:strCache>
                <c:ptCount val="1"/>
                <c:pt idx="0">
                  <c:v>Structural BOS (US$2022/m2)</c:v>
                </c:pt>
              </c:strCache>
            </c:strRef>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og"/>
            <c:dispRSqr val="1"/>
            <c:dispEq val="1"/>
            <c:trendlineLbl>
              <c:layout>
                <c:manualLayout>
                  <c:x val="-2.1771768324877757E-2"/>
                  <c:y val="-0.11706328173239275"/>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rendlineLbl>
          </c:trendline>
          <c:yVal>
            <c:numRef>
              <c:f>Inputs.Solar!$N$88:$AA$88</c:f>
              <c:numCache>
                <c:formatCode>"$"#,##0.00</c:formatCode>
                <c:ptCount val="14"/>
                <c:pt idx="0">
                  <c:v>30.389451547087621</c:v>
                </c:pt>
                <c:pt idx="2">
                  <c:v>30.389451547087621</c:v>
                </c:pt>
                <c:pt idx="4">
                  <c:v>28.490110825394641</c:v>
                </c:pt>
                <c:pt idx="7">
                  <c:v>26.590770103701672</c:v>
                </c:pt>
                <c:pt idx="10">
                  <c:v>24.691429382008693</c:v>
                </c:pt>
              </c:numCache>
            </c:numRef>
          </c:yVal>
          <c:smooth val="0"/>
          <c:extLst>
            <c:ext xmlns:c16="http://schemas.microsoft.com/office/drawing/2014/chart" uri="{C3380CC4-5D6E-409C-BE32-E72D297353CC}">
              <c16:uniqueId val="{00000000-F6E3-483F-AF48-F749A1473680}"/>
            </c:ext>
          </c:extLst>
        </c:ser>
        <c:ser>
          <c:idx val="1"/>
          <c:order val="1"/>
          <c:tx>
            <c:strRef>
              <c:f>Inputs.Solar!$K$84</c:f>
              <c:strCache>
                <c:ptCount val="1"/>
                <c:pt idx="0">
                  <c:v>Electrical BOS (US$2022/m2)</c:v>
                </c:pt>
              </c:strCache>
            </c:strRef>
          </c:tx>
          <c:spPr>
            <a:ln w="2540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og"/>
            <c:dispRSqr val="1"/>
            <c:dispEq val="1"/>
            <c:trendlineLbl>
              <c:layout>
                <c:manualLayout>
                  <c:x val="-3.765547722327236E-4"/>
                  <c:y val="-3.1824555652391978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yVal>
            <c:numRef>
              <c:f>Inputs.Solar!$N$90:$AA$90</c:f>
              <c:numCache>
                <c:formatCode>"$"#,##0</c:formatCode>
                <c:ptCount val="14"/>
                <c:pt idx="0">
                  <c:v>14.132548475172465</c:v>
                </c:pt>
                <c:pt idx="2">
                  <c:v>14.132548475172465</c:v>
                </c:pt>
                <c:pt idx="4">
                  <c:v>12.365979915775908</c:v>
                </c:pt>
                <c:pt idx="7">
                  <c:v>12.365979915775908</c:v>
                </c:pt>
                <c:pt idx="10">
                  <c:v>12.365979915775908</c:v>
                </c:pt>
              </c:numCache>
            </c:numRef>
          </c:yVal>
          <c:smooth val="0"/>
          <c:extLst>
            <c:ext xmlns:c16="http://schemas.microsoft.com/office/drawing/2014/chart" uri="{C3380CC4-5D6E-409C-BE32-E72D297353CC}">
              <c16:uniqueId val="{00000001-458A-4A44-A94D-D8063D797464}"/>
            </c:ext>
          </c:extLst>
        </c:ser>
        <c:dLbls>
          <c:showLegendKey val="0"/>
          <c:showVal val="0"/>
          <c:showCatName val="0"/>
          <c:showSerName val="0"/>
          <c:showPercent val="0"/>
          <c:showBubbleSize val="0"/>
        </c:dLbls>
        <c:axId val="396127424"/>
        <c:axId val="396130336"/>
      </c:scatterChart>
      <c:valAx>
        <c:axId val="396127424"/>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6130336"/>
        <c:crosses val="autoZero"/>
        <c:crossBetween val="midCat"/>
      </c:valAx>
      <c:valAx>
        <c:axId val="396130336"/>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6127424"/>
        <c:crosses val="autoZero"/>
        <c:crossBetween val="midCat"/>
      </c:valAx>
      <c:spPr>
        <a:noFill/>
        <a:ln>
          <a:noFill/>
        </a:ln>
        <a:effectLst/>
      </c:spPr>
    </c:plotArea>
    <c:legend>
      <c:legendPos val="b"/>
      <c:layout>
        <c:manualLayout>
          <c:xMode val="edge"/>
          <c:yMode val="edge"/>
          <c:x val="1.8508117689962866E-2"/>
          <c:y val="0.8429709174756066"/>
          <c:w val="0.98149188231003714"/>
          <c:h val="0.1328710547832419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CA"/>
              <a:t>Electrical BOS-Fixed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og"/>
            <c:dispRSqr val="1"/>
            <c:dispEq val="1"/>
            <c:trendlineLbl>
              <c:layout>
                <c:manualLayout>
                  <c:x val="-4.6463715446940369E-2"/>
                  <c:y val="-0.27341868525976237"/>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rendlineLbl>
          </c:trendline>
          <c:yVal>
            <c:numRef>
              <c:f>Inputs.Solar!$N$91:$AA$91</c:f>
              <c:numCache>
                <c:formatCode>"$"#,##0</c:formatCode>
                <c:ptCount val="14"/>
                <c:pt idx="0">
                  <c:v>61657.715048406702</c:v>
                </c:pt>
                <c:pt idx="2">
                  <c:v>61657.715048406702</c:v>
                </c:pt>
                <c:pt idx="4">
                  <c:v>53950.500667355867</c:v>
                </c:pt>
                <c:pt idx="7">
                  <c:v>53950.500667355867</c:v>
                </c:pt>
                <c:pt idx="10">
                  <c:v>53950.500667355867</c:v>
                </c:pt>
              </c:numCache>
            </c:numRef>
          </c:yVal>
          <c:smooth val="0"/>
          <c:extLst>
            <c:ext xmlns:c16="http://schemas.microsoft.com/office/drawing/2014/chart" uri="{C3380CC4-5D6E-409C-BE32-E72D297353CC}">
              <c16:uniqueId val="{00000001-ECB9-4F1D-B609-3E1183C0BD58}"/>
            </c:ext>
          </c:extLst>
        </c:ser>
        <c:dLbls>
          <c:showLegendKey val="0"/>
          <c:showVal val="0"/>
          <c:showCatName val="0"/>
          <c:showSerName val="0"/>
          <c:showPercent val="0"/>
          <c:showBubbleSize val="0"/>
        </c:dLbls>
        <c:axId val="396127424"/>
        <c:axId val="396130336"/>
      </c:scatterChart>
      <c:valAx>
        <c:axId val="396127424"/>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6130336"/>
        <c:crosses val="autoZero"/>
        <c:crossBetween val="midCat"/>
      </c:valAx>
      <c:valAx>
        <c:axId val="396130336"/>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6127424"/>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CA"/>
              <a:t>Wind</a:t>
            </a:r>
            <a:r>
              <a:rPr lang="en-CA" baseline="0"/>
              <a:t> Diameter and Blade Costs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wer"/>
            <c:dispRSqr val="1"/>
            <c:dispEq val="1"/>
            <c:trendlineLbl>
              <c:numFmt formatCode="General" sourceLinked="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rendlineLbl>
          </c:trendline>
          <c:xVal>
            <c:numRef>
              <c:f>Inputs.Wind!$N$12:$P$12</c:f>
              <c:numCache>
                <c:formatCode>General</c:formatCode>
                <c:ptCount val="3"/>
                <c:pt idx="0">
                  <c:v>154</c:v>
                </c:pt>
                <c:pt idx="1">
                  <c:v>194</c:v>
                </c:pt>
                <c:pt idx="2">
                  <c:v>234</c:v>
                </c:pt>
              </c:numCache>
            </c:numRef>
          </c:xVal>
          <c:yVal>
            <c:numRef>
              <c:f>Inputs.Wind!$N$14:$P$14</c:f>
              <c:numCache>
                <c:formatCode>_-"$"* #,##0.00_-;\-"$"* #,##0.00_-;_-"$"* "-"??_-;_-@_-</c:formatCode>
                <c:ptCount val="3"/>
                <c:pt idx="0">
                  <c:v>0.88434900000000005</c:v>
                </c:pt>
                <c:pt idx="1">
                  <c:v>1.483182</c:v>
                </c:pt>
                <c:pt idx="2">
                  <c:v>2.2824840000000002</c:v>
                </c:pt>
              </c:numCache>
            </c:numRef>
          </c:yVal>
          <c:smooth val="0"/>
          <c:extLst>
            <c:ext xmlns:c16="http://schemas.microsoft.com/office/drawing/2014/chart" uri="{C3380CC4-5D6E-409C-BE32-E72D297353CC}">
              <c16:uniqueId val="{00000000-FA2B-4D16-899C-A35AC2B1765E}"/>
            </c:ext>
          </c:extLst>
        </c:ser>
        <c:dLbls>
          <c:showLegendKey val="0"/>
          <c:showVal val="0"/>
          <c:showCatName val="0"/>
          <c:showSerName val="0"/>
          <c:showPercent val="0"/>
          <c:showBubbleSize val="0"/>
        </c:dLbls>
        <c:axId val="6496191"/>
        <c:axId val="6491199"/>
      </c:scatterChart>
      <c:valAx>
        <c:axId val="649619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91199"/>
        <c:crosses val="autoZero"/>
        <c:crossBetween val="midCat"/>
      </c:valAx>
      <c:valAx>
        <c:axId val="6491199"/>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quot;$&quot;* #,##0.00_-;_-&quot;$&quot;*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96191"/>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Dashboard!$L$34</c:f>
          <c:strCache>
            <c:ptCount val="1"/>
            <c:pt idx="0">
              <c:v>Ontario OPEX (CA$2022/kW-yr)</c:v>
            </c:pt>
          </c:strCache>
        </c:strRef>
      </c:tx>
      <c:overlay val="0"/>
      <c:spPr>
        <a:noFill/>
        <a:ln>
          <a:noFill/>
        </a:ln>
        <a:effectLst/>
      </c:spPr>
      <c:txPr>
        <a:bodyPr rot="0" spcFirstLastPara="1" vertOverflow="ellipsis" vert="horz" wrap="square" anchor="ctr" anchorCtr="1"/>
        <a:lstStyle/>
        <a:p>
          <a:pPr>
            <a:defRPr sz="1050" b="0" i="0" u="none" strike="noStrike" kern="1200" spc="0" baseline="0">
              <a:solidFill>
                <a:srgbClr val="002060"/>
              </a:solidFill>
              <a:latin typeface="Arial Nova Light" panose="020B0304020202020204" pitchFamily="34" charset="0"/>
              <a:ea typeface="+mn-ea"/>
              <a:cs typeface="+mn-cs"/>
            </a:defRPr>
          </a:pPr>
          <a:endParaRPr lang="en-US"/>
        </a:p>
      </c:txPr>
    </c:title>
    <c:autoTitleDeleted val="0"/>
    <c:plotArea>
      <c:layout>
        <c:manualLayout>
          <c:layoutTarget val="inner"/>
          <c:xMode val="edge"/>
          <c:yMode val="edge"/>
          <c:x val="0.17134116100130181"/>
          <c:y val="0.16045351473922903"/>
          <c:w val="0.63932623701764757"/>
          <c:h val="0.49885489031608748"/>
        </c:manualLayout>
      </c:layout>
      <c:lineChart>
        <c:grouping val="standard"/>
        <c:varyColors val="0"/>
        <c:ser>
          <c:idx val="0"/>
          <c:order val="0"/>
          <c:tx>
            <c:strRef>
              <c:f>Dashboard!$M$35</c:f>
              <c:strCache>
                <c:ptCount val="1"/>
                <c:pt idx="0">
                  <c:v>Wind</c:v>
                </c:pt>
              </c:strCache>
            </c:strRef>
          </c:tx>
          <c:spPr>
            <a:ln w="19050" cap="rnd">
              <a:solidFill>
                <a:schemeClr val="accent1"/>
              </a:solidFill>
              <a:round/>
            </a:ln>
            <a:effectLst/>
          </c:spPr>
          <c:marker>
            <c:symbol val="none"/>
          </c:marker>
          <c:dLbls>
            <c:dLbl>
              <c:idx val="13"/>
              <c:layout>
                <c:manualLayout>
                  <c:x val="0.12414386388398724"/>
                  <c:y val="-4.1221054934720891E-2"/>
                </c:manualLayout>
              </c:layout>
              <c:spPr>
                <a:noFill/>
                <a:ln>
                  <a:noFill/>
                </a:ln>
                <a:effectLst/>
              </c:spPr>
              <c:txPr>
                <a:bodyPr rot="0" spcFirstLastPara="1" vertOverflow="ellipsis" vert="horz" wrap="square" lIns="38100" tIns="19050" rIns="38100" bIns="19050" anchor="ctr" anchorCtr="0">
                  <a:spAutoFit/>
                </a:bodyPr>
                <a:lstStyle/>
                <a:p>
                  <a:pPr algn="r">
                    <a:defRPr sz="600" b="1" i="0" u="none" strike="noStrike" kern="1200" baseline="0">
                      <a:solidFill>
                        <a:schemeClr val="accent1"/>
                      </a:solidFill>
                      <a:latin typeface="Arial Nova Light" panose="020B0304020202020204" pitchFamily="34" charset="0"/>
                      <a:ea typeface="+mn-ea"/>
                      <a:cs typeface="+mn-cs"/>
                    </a:defRPr>
                  </a:pPr>
                  <a:endParaRPr lang="en-US"/>
                </a:p>
              </c:txP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0-5D95-43DC-B5BE-851F4D829361}"/>
                </c:ext>
              </c:extLst>
            </c:dLbl>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Arial Nova Light" panose="020B0304020202020204" pitchFamily="34" charset="0"/>
                    <a:ea typeface="+mn-ea"/>
                    <a:cs typeface="+mn-cs"/>
                  </a:defRPr>
                </a:pPr>
                <a:endParaRPr lang="en-US"/>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Dashboard!$N$25:$AA$25</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Dashboard!$N$35:$AA$35</c:f>
              <c:numCache>
                <c:formatCode>_-"$"* #,##0_-;\-"$"* #,##0_-;_-"$"* "-"??_-;_-@_-</c:formatCode>
                <c:ptCount val="14"/>
                <c:pt idx="0">
                  <c:v>71.626568385061177</c:v>
                </c:pt>
                <c:pt idx="1">
                  <c:v>67.796026534781902</c:v>
                </c:pt>
                <c:pt idx="2">
                  <c:v>64.023402163902233</c:v>
                </c:pt>
                <c:pt idx="3">
                  <c:v>60.308695272422192</c:v>
                </c:pt>
                <c:pt idx="4">
                  <c:v>56.651905860341792</c:v>
                </c:pt>
                <c:pt idx="5">
                  <c:v>54.085340742511235</c:v>
                </c:pt>
                <c:pt idx="6">
                  <c:v>51.55738727761377</c:v>
                </c:pt>
                <c:pt idx="7">
                  <c:v>49.068045465649377</c:v>
                </c:pt>
                <c:pt idx="8">
                  <c:v>46.617315306618075</c:v>
                </c:pt>
                <c:pt idx="9">
                  <c:v>44.318189512644878</c:v>
                </c:pt>
                <c:pt idx="10">
                  <c:v>43.036337014949346</c:v>
                </c:pt>
                <c:pt idx="11">
                  <c:v>40.785949494921539</c:v>
                </c:pt>
                <c:pt idx="12">
                  <c:v>39.538910050044144</c:v>
                </c:pt>
                <c:pt idx="13">
                  <c:v>37.33726080396174</c:v>
                </c:pt>
              </c:numCache>
            </c:numRef>
          </c:val>
          <c:smooth val="0"/>
          <c:extLst xmlns:c15="http://schemas.microsoft.com/office/drawing/2012/chart">
            <c:ext xmlns:c16="http://schemas.microsoft.com/office/drawing/2014/chart" uri="{C3380CC4-5D6E-409C-BE32-E72D297353CC}">
              <c16:uniqueId val="{00000001-5D95-43DC-B5BE-851F4D829361}"/>
            </c:ext>
          </c:extLst>
        </c:ser>
        <c:ser>
          <c:idx val="1"/>
          <c:order val="1"/>
          <c:tx>
            <c:strRef>
              <c:f>Dashboard!$M$36</c:f>
              <c:strCache>
                <c:ptCount val="1"/>
                <c:pt idx="0">
                  <c:v>Solar</c:v>
                </c:pt>
              </c:strCache>
            </c:strRef>
          </c:tx>
          <c:spPr>
            <a:ln w="19050" cap="rnd">
              <a:solidFill>
                <a:schemeClr val="accent2"/>
              </a:solidFill>
              <a:round/>
            </a:ln>
            <a:effectLst/>
          </c:spPr>
          <c:marker>
            <c:symbol val="none"/>
          </c:marker>
          <c:dLbls>
            <c:dLbl>
              <c:idx val="13"/>
              <c:layout>
                <c:manualLayout>
                  <c:x val="0.15484146753356412"/>
                  <c:y val="4.1267216717520448E-2"/>
                </c:manualLayout>
              </c:layout>
              <c:spPr>
                <a:noFill/>
                <a:ln>
                  <a:noFill/>
                </a:ln>
                <a:effectLst/>
              </c:spPr>
              <c:txPr>
                <a:bodyPr rot="0" spcFirstLastPara="1" vertOverflow="ellipsis" vert="horz" wrap="square" lIns="38100" tIns="19050" rIns="38100" bIns="19050" anchor="ctr" anchorCtr="0">
                  <a:spAutoFit/>
                </a:bodyPr>
                <a:lstStyle/>
                <a:p>
                  <a:pPr algn="r">
                    <a:defRPr sz="600" b="1" i="0" u="none" strike="noStrike" kern="1200" baseline="0">
                      <a:solidFill>
                        <a:schemeClr val="accent2"/>
                      </a:solidFill>
                      <a:latin typeface="Arial Nova Light" panose="020B0304020202020204" pitchFamily="34" charset="0"/>
                      <a:ea typeface="+mn-ea"/>
                      <a:cs typeface="+mn-cs"/>
                    </a:defRPr>
                  </a:pPr>
                  <a:endParaRPr lang="en-US"/>
                </a:p>
              </c:txP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2-5D95-43DC-B5BE-851F4D829361}"/>
                </c:ext>
              </c:extLst>
            </c:dLbl>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Arial Nova Light" panose="020B0304020202020204" pitchFamily="34" charset="0"/>
                    <a:ea typeface="+mn-ea"/>
                    <a:cs typeface="+mn-cs"/>
                  </a:defRPr>
                </a:pPr>
                <a:endParaRPr lang="en-US"/>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Dashboard!$N$25:$AA$25</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Dashboard!$N$36:$AA$36</c:f>
              <c:numCache>
                <c:formatCode>_-"$"* #,##0_-;\-"$"* #,##0_-;_-"$"* "-"??_-;_-@_-</c:formatCode>
                <c:ptCount val="14"/>
                <c:pt idx="0">
                  <c:v>55.792785714285728</c:v>
                </c:pt>
                <c:pt idx="1">
                  <c:v>55.660002907643694</c:v>
                </c:pt>
                <c:pt idx="2">
                  <c:v>55.525221372768613</c:v>
                </c:pt>
                <c:pt idx="3">
                  <c:v>55.388407748083402</c:v>
                </c:pt>
                <c:pt idx="4">
                  <c:v>55.249530478155677</c:v>
                </c:pt>
                <c:pt idx="5">
                  <c:v>55.10855969310267</c:v>
                </c:pt>
                <c:pt idx="6">
                  <c:v>54.965467097531025</c:v>
                </c:pt>
                <c:pt idx="7">
                  <c:v>54.820225868144</c:v>
                </c:pt>
                <c:pt idx="8">
                  <c:v>54.672810559236268</c:v>
                </c:pt>
                <c:pt idx="9">
                  <c:v>54.834202632472582</c:v>
                </c:pt>
                <c:pt idx="10">
                  <c:v>54.995228468909161</c:v>
                </c:pt>
                <c:pt idx="11">
                  <c:v>55.155887373603335</c:v>
                </c:pt>
                <c:pt idx="12">
                  <c:v>55.316178666719885</c:v>
                </c:pt>
                <c:pt idx="13">
                  <c:v>55.476101683122749</c:v>
                </c:pt>
              </c:numCache>
            </c:numRef>
          </c:val>
          <c:smooth val="0"/>
          <c:extLst xmlns:c15="http://schemas.microsoft.com/office/drawing/2012/chart">
            <c:ext xmlns:c16="http://schemas.microsoft.com/office/drawing/2014/chart" uri="{C3380CC4-5D6E-409C-BE32-E72D297353CC}">
              <c16:uniqueId val="{00000003-5D95-43DC-B5BE-851F4D829361}"/>
            </c:ext>
          </c:extLst>
        </c:ser>
        <c:ser>
          <c:idx val="2"/>
          <c:order val="2"/>
          <c:tx>
            <c:strRef>
              <c:f>Dashboard!$M$37</c:f>
              <c:strCache>
                <c:ptCount val="1"/>
                <c:pt idx="0">
                  <c:v>Energy Storage (8hr)</c:v>
                </c:pt>
              </c:strCache>
            </c:strRef>
          </c:tx>
          <c:spPr>
            <a:ln w="19050" cap="rnd">
              <a:solidFill>
                <a:schemeClr val="accent6">
                  <a:lumMod val="75000"/>
                </a:schemeClr>
              </a:solidFill>
              <a:prstDash val="lgDash"/>
              <a:round/>
            </a:ln>
            <a:effectLst/>
          </c:spPr>
          <c:marker>
            <c:symbol val="none"/>
          </c:marker>
          <c:dLbls>
            <c:dLbl>
              <c:idx val="13"/>
              <c:layout>
                <c:manualLayout>
                  <c:x val="-1.3101784632488686E-7"/>
                  <c:y val="-2.9115050691334386E-2"/>
                </c:manualLayout>
              </c:layout>
              <c:spPr>
                <a:noFill/>
                <a:ln>
                  <a:noFill/>
                </a:ln>
                <a:effectLst/>
              </c:spPr>
              <c:txPr>
                <a:bodyPr rot="0" spcFirstLastPara="1" vertOverflow="ellipsis" vert="horz" wrap="square" lIns="38100" tIns="19050" rIns="38100" bIns="19050" anchor="ctr" anchorCtr="0">
                  <a:noAutofit/>
                </a:bodyPr>
                <a:lstStyle/>
                <a:p>
                  <a:pPr algn="r">
                    <a:defRPr sz="600" b="1" i="0" u="none" strike="noStrike" kern="1200" baseline="0">
                      <a:solidFill>
                        <a:schemeClr val="accent6">
                          <a:lumMod val="50000"/>
                        </a:schemeClr>
                      </a:solidFill>
                      <a:latin typeface="Arial Nova Light" panose="020B0304020202020204" pitchFamily="34" charset="0"/>
                      <a:ea typeface="+mn-ea"/>
                      <a:cs typeface="+mn-cs"/>
                    </a:defRPr>
                  </a:pPr>
                  <a:endParaRPr lang="en-US"/>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1060199062737478"/>
                      <c:h val="4.7077632930817813E-2"/>
                    </c:manualLayout>
                  </c15:layout>
                </c:ext>
                <c:ext xmlns:c16="http://schemas.microsoft.com/office/drawing/2014/chart" uri="{C3380CC4-5D6E-409C-BE32-E72D297353CC}">
                  <c16:uniqueId val="{00000004-5D95-43DC-B5BE-851F4D829361}"/>
                </c:ext>
              </c:extLst>
            </c:dLbl>
            <c:spPr>
              <a:noFill/>
              <a:ln>
                <a:noFill/>
              </a:ln>
              <a:effectLst/>
            </c:spPr>
            <c:txPr>
              <a:bodyPr rot="0" spcFirstLastPara="1" vertOverflow="ellipsis" vert="horz" wrap="square" lIns="38100" tIns="19050" rIns="38100" bIns="19050" anchor="ctr" anchorCtr="0">
                <a:spAutoFit/>
              </a:bodyPr>
              <a:lstStyle/>
              <a:p>
                <a:pPr algn="r">
                  <a:defRPr sz="1000" b="0" i="0" u="none" strike="noStrike" kern="1200" baseline="0">
                    <a:solidFill>
                      <a:schemeClr val="tx1">
                        <a:lumMod val="75000"/>
                        <a:lumOff val="25000"/>
                      </a:schemeClr>
                    </a:solidFill>
                    <a:latin typeface="Arial Nova Light" panose="020B0304020202020204" pitchFamily="34" charset="0"/>
                    <a:ea typeface="+mn-ea"/>
                    <a:cs typeface="+mn-cs"/>
                  </a:defRPr>
                </a:pPr>
                <a:endParaRPr lang="en-US"/>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Dashboard!$N$25:$AA$25</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Dashboard!$N$37:$AA$37</c:f>
              <c:numCache>
                <c:formatCode>_-"$"* #,##0_-;\-"$"* #,##0_-;_-"$"* "-"??_-;_-@_-</c:formatCode>
                <c:ptCount val="14"/>
                <c:pt idx="0">
                  <c:v>26.27</c:v>
                </c:pt>
                <c:pt idx="1">
                  <c:v>24.75362808236402</c:v>
                </c:pt>
                <c:pt idx="2">
                  <c:v>23.866607373400342</c:v>
                </c:pt>
                <c:pt idx="3">
                  <c:v>23.237256164728045</c:v>
                </c:pt>
                <c:pt idx="4">
                  <c:v>22.749093442142794</c:v>
                </c:pt>
                <c:pt idx="5">
                  <c:v>22.350235455764363</c:v>
                </c:pt>
                <c:pt idx="6">
                  <c:v>22.013005833354715</c:v>
                </c:pt>
                <c:pt idx="7">
                  <c:v>21.720884247092066</c:v>
                </c:pt>
                <c:pt idx="8">
                  <c:v>21.463214746800691</c:v>
                </c:pt>
                <c:pt idx="9">
                  <c:v>21.232721524506818</c:v>
                </c:pt>
                <c:pt idx="10">
                  <c:v>21.024215042516424</c:v>
                </c:pt>
                <c:pt idx="11">
                  <c:v>20.833863538128391</c:v>
                </c:pt>
                <c:pt idx="12">
                  <c:v>20.658757128506053</c:v>
                </c:pt>
                <c:pt idx="13">
                  <c:v>20.496633915718736</c:v>
                </c:pt>
              </c:numCache>
            </c:numRef>
          </c:val>
          <c:smooth val="0"/>
          <c:extLst xmlns:c15="http://schemas.microsoft.com/office/drawing/2012/chart">
            <c:ext xmlns:c16="http://schemas.microsoft.com/office/drawing/2014/chart" uri="{C3380CC4-5D6E-409C-BE32-E72D297353CC}">
              <c16:uniqueId val="{00000005-5D95-43DC-B5BE-851F4D829361}"/>
            </c:ext>
          </c:extLst>
        </c:ser>
        <c:ser>
          <c:idx val="3"/>
          <c:order val="3"/>
          <c:tx>
            <c:strRef>
              <c:f>Dashboard!$M$38</c:f>
              <c:strCache>
                <c:ptCount val="1"/>
                <c:pt idx="0">
                  <c:v>Solar + ES (8hr)</c:v>
                </c:pt>
              </c:strCache>
            </c:strRef>
          </c:tx>
          <c:spPr>
            <a:ln w="19050" cap="rnd">
              <a:solidFill>
                <a:schemeClr val="accent2"/>
              </a:solidFill>
              <a:prstDash val="sysDash"/>
              <a:round/>
            </a:ln>
            <a:effectLst/>
          </c:spPr>
          <c:marker>
            <c:symbol val="none"/>
          </c:marker>
          <c:dLbls>
            <c:dLbl>
              <c:idx val="13"/>
              <c:layout>
                <c:manualLayout>
                  <c:x val="-6.6558376049518459E-3"/>
                  <c:y val="2.3035423257337087E-3"/>
                </c:manualLayout>
              </c:layout>
              <c:spPr>
                <a:noFill/>
                <a:ln>
                  <a:noFill/>
                </a:ln>
                <a:effectLst/>
              </c:spPr>
              <c:txPr>
                <a:bodyPr rot="0" spcFirstLastPara="1" vertOverflow="ellipsis" vert="horz" wrap="square" lIns="38100" tIns="19050" rIns="38100" bIns="19050" anchor="ctr" anchorCtr="0">
                  <a:noAutofit/>
                </a:bodyPr>
                <a:lstStyle/>
                <a:p>
                  <a:pPr algn="r">
                    <a:defRPr sz="600" b="1" i="0" u="none" strike="noStrike" kern="1200" baseline="0">
                      <a:solidFill>
                        <a:schemeClr val="accent2"/>
                      </a:solidFill>
                      <a:latin typeface="Arial Nova Light" panose="020B0304020202020204" pitchFamily="34" charset="0"/>
                      <a:ea typeface="+mn-ea"/>
                      <a:cs typeface="+mn-cs"/>
                    </a:defRPr>
                  </a:pPr>
                  <a:endParaRPr lang="en-US"/>
                </a:p>
              </c:txPr>
              <c:showLegendKey val="0"/>
              <c:showVal val="0"/>
              <c:showCatName val="0"/>
              <c:showSerName val="1"/>
              <c:showPercent val="0"/>
              <c:showBubbleSize val="0"/>
              <c:extLst>
                <c:ext xmlns:c15="http://schemas.microsoft.com/office/drawing/2012/chart" uri="{CE6537A1-D6FC-4f65-9D91-7224C49458BB}">
                  <c15:layout>
                    <c:manualLayout>
                      <c:w val="0.19419831334965801"/>
                      <c:h val="5.084026011082609E-2"/>
                    </c:manualLayout>
                  </c15:layout>
                </c:ext>
                <c:ext xmlns:c16="http://schemas.microsoft.com/office/drawing/2014/chart" uri="{C3380CC4-5D6E-409C-BE32-E72D297353CC}">
                  <c16:uniqueId val="{00000006-5D95-43DC-B5BE-851F4D829361}"/>
                </c:ext>
              </c:extLst>
            </c:dLbl>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Arial Nova Light" panose="020B03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noFill/>
                      <a:round/>
                    </a:ln>
                    <a:effectLst/>
                  </c:spPr>
                </c15:leaderLines>
              </c:ext>
            </c:extLst>
          </c:dLbls>
          <c:cat>
            <c:numRef>
              <c:f>Dashboard!$N$25:$AA$25</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Dashboard!$N$38:$AA$38</c:f>
              <c:numCache>
                <c:formatCode>_-"$"* #,##0_-;\-"$"* #,##0_-;_-"$"* "-"??_-;_-@_-</c:formatCode>
                <c:ptCount val="14"/>
                <c:pt idx="0">
                  <c:v>66.62233928571429</c:v>
                </c:pt>
                <c:pt idx="1">
                  <c:v>65.535061899919228</c:v>
                </c:pt>
                <c:pt idx="2">
                  <c:v>64.823396511094529</c:v>
                </c:pt>
                <c:pt idx="3">
                  <c:v>64.26430073263451</c:v>
                </c:pt>
                <c:pt idx="4">
                  <c:v>63.787854400584209</c:v>
                </c:pt>
                <c:pt idx="5">
                  <c:v>63.362897395132713</c:v>
                </c:pt>
                <c:pt idx="6">
                  <c:v>62.972795597543858</c:v>
                </c:pt>
                <c:pt idx="7">
                  <c:v>62.6076099878278</c:v>
                </c:pt>
                <c:pt idx="8">
                  <c:v>62.260921550173826</c:v>
                </c:pt>
                <c:pt idx="9">
                  <c:v>62.23934626146238</c:v>
                </c:pt>
                <c:pt idx="10">
                  <c:v>62.23059678013329</c:v>
                </c:pt>
                <c:pt idx="11">
                  <c:v>62.232373353623224</c:v>
                </c:pt>
                <c:pt idx="12">
                  <c:v>62.242929372394947</c:v>
                </c:pt>
                <c:pt idx="13">
                  <c:v>62.26090703255398</c:v>
                </c:pt>
              </c:numCache>
            </c:numRef>
          </c:val>
          <c:smooth val="0"/>
          <c:extLst>
            <c:ext xmlns:c16="http://schemas.microsoft.com/office/drawing/2014/chart" uri="{C3380CC4-5D6E-409C-BE32-E72D297353CC}">
              <c16:uniqueId val="{00000007-5D95-43DC-B5BE-851F4D829361}"/>
            </c:ext>
          </c:extLst>
        </c:ser>
        <c:ser>
          <c:idx val="4"/>
          <c:order val="4"/>
          <c:tx>
            <c:strRef>
              <c:f>Dashboard!$M$39</c:f>
              <c:strCache>
                <c:ptCount val="1"/>
                <c:pt idx="0">
                  <c:v>Wind + ES (8hr)</c:v>
                </c:pt>
              </c:strCache>
            </c:strRef>
          </c:tx>
          <c:spPr>
            <a:ln w="19050" cap="rnd">
              <a:solidFill>
                <a:schemeClr val="accent1"/>
              </a:solidFill>
              <a:prstDash val="sysDash"/>
              <a:round/>
            </a:ln>
            <a:effectLst/>
          </c:spPr>
          <c:marker>
            <c:symbol val="none"/>
          </c:marker>
          <c:dLbls>
            <c:dLbl>
              <c:idx val="13"/>
              <c:layout>
                <c:manualLayout>
                  <c:x val="3.4857560017965042E-2"/>
                  <c:y val="-7.4246222918706584E-2"/>
                </c:manualLayout>
              </c:layout>
              <c:tx>
                <c:rich>
                  <a:bodyPr rot="0" spcFirstLastPara="1" vertOverflow="ellipsis" vert="horz" wrap="square" lIns="38100" tIns="19050" rIns="38100" bIns="19050" anchor="ctr" anchorCtr="0">
                    <a:spAutoFit/>
                  </a:bodyPr>
                  <a:lstStyle/>
                  <a:p>
                    <a:pPr algn="r">
                      <a:defRPr sz="600" b="1" i="0" u="none" strike="noStrike" kern="1200" baseline="0">
                        <a:solidFill>
                          <a:schemeClr val="accent1"/>
                        </a:solidFill>
                        <a:latin typeface="Arial Nova Light" panose="020B0304020202020204" pitchFamily="34" charset="0"/>
                        <a:ea typeface="+mn-ea"/>
                        <a:cs typeface="+mn-cs"/>
                      </a:defRPr>
                    </a:pPr>
                    <a:fld id="{5DB5E29E-5075-4E4C-BCB1-861874BBE4F6}" type="SERIESNAME">
                      <a:rPr lang="en-US" sz="600" b="1">
                        <a:solidFill>
                          <a:schemeClr val="accent1"/>
                        </a:solidFill>
                      </a:rPr>
                      <a:pPr algn="r">
                        <a:defRPr sz="600" b="1">
                          <a:solidFill>
                            <a:schemeClr val="accent1"/>
                          </a:solidFill>
                        </a:defRPr>
                      </a:pPr>
                      <a:t>[SERIES NAME]</a:t>
                    </a:fld>
                    <a:endParaRPr lang="en-US"/>
                  </a:p>
                </c:rich>
              </c:tx>
              <c:spPr>
                <a:noFill/>
                <a:ln>
                  <a:noFill/>
                </a:ln>
                <a:effectLst/>
              </c:spPr>
              <c:txPr>
                <a:bodyPr rot="0" spcFirstLastPara="1" vertOverflow="ellipsis" vert="horz" wrap="square" lIns="38100" tIns="19050" rIns="38100" bIns="19050" anchor="ctr" anchorCtr="0">
                  <a:spAutoFit/>
                </a:bodyPr>
                <a:lstStyle/>
                <a:p>
                  <a:pPr algn="r">
                    <a:defRPr sz="600" b="1" i="0" u="none" strike="noStrike" kern="1200" baseline="0">
                      <a:solidFill>
                        <a:schemeClr val="accent1"/>
                      </a:solidFill>
                      <a:latin typeface="Arial Nova Light" panose="020B0304020202020204" pitchFamily="34" charset="0"/>
                      <a:ea typeface="+mn-ea"/>
                      <a:cs typeface="+mn-cs"/>
                    </a:defRPr>
                  </a:pPr>
                  <a:endParaRPr lang="en-US"/>
                </a:p>
              </c:tx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8-5D95-43DC-B5BE-851F4D829361}"/>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Nova Light" panose="020B0304020202020204" pitchFamily="34" charset="0"/>
                    <a:ea typeface="+mn-ea"/>
                    <a:cs typeface="+mn-cs"/>
                  </a:defRPr>
                </a:pPr>
                <a:endParaRPr lang="en-US"/>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15:leaderLines>
                  <c:spPr>
                    <a:ln w="9525" cap="flat" cmpd="sng" algn="ctr">
                      <a:noFill/>
                      <a:round/>
                    </a:ln>
                    <a:effectLst/>
                  </c:spPr>
                </c15:leaderLines>
              </c:ext>
            </c:extLst>
          </c:dLbls>
          <c:cat>
            <c:numRef>
              <c:f>Dashboard!$N$25:$AA$25</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Dashboard!$N$39:$AA$39</c:f>
              <c:numCache>
                <c:formatCode>_-"$"* #,##0_-;\-"$"* #,##0_-;_-"$"* "-"??_-;_-@_-</c:formatCode>
                <c:ptCount val="14"/>
                <c:pt idx="0">
                  <c:v>83.730568385061176</c:v>
                </c:pt>
                <c:pt idx="1">
                  <c:v>79.046453384200319</c:v>
                </c:pt>
                <c:pt idx="2">
                  <c:v>74.797866587942451</c:v>
                </c:pt>
                <c:pt idx="3">
                  <c:v>70.761798971259026</c:v>
                </c:pt>
                <c:pt idx="4">
                  <c:v>66.868361925627482</c:v>
                </c:pt>
                <c:pt idx="5">
                  <c:v>64.099982015969857</c:v>
                </c:pt>
                <c:pt idx="6">
                  <c:v>61.407190777626596</c:v>
                </c:pt>
                <c:pt idx="7">
                  <c:v>58.780076013904619</c:v>
                </c:pt>
                <c:pt idx="8">
                  <c:v>56.212244154698482</c:v>
                </c:pt>
                <c:pt idx="9">
                  <c:v>53.812322427348981</c:v>
                </c:pt>
                <c:pt idx="10">
                  <c:v>52.424116040459204</c:v>
                </c:pt>
                <c:pt idx="11">
                  <c:v>50.097017617798564</c:v>
                </c:pt>
                <c:pt idx="12">
                  <c:v>48.763664327147779</c:v>
                </c:pt>
                <c:pt idx="13">
                  <c:v>46.50224115339298</c:v>
                </c:pt>
              </c:numCache>
            </c:numRef>
          </c:val>
          <c:smooth val="0"/>
          <c:extLst xmlns:c15="http://schemas.microsoft.com/office/drawing/2012/chart">
            <c:ext xmlns:c16="http://schemas.microsoft.com/office/drawing/2014/chart" uri="{C3380CC4-5D6E-409C-BE32-E72D297353CC}">
              <c16:uniqueId val="{00000009-5D95-43DC-B5BE-851F4D829361}"/>
            </c:ext>
          </c:extLst>
        </c:ser>
        <c:ser>
          <c:idx val="5"/>
          <c:order val="5"/>
          <c:tx>
            <c:strRef>
              <c:f>Dashboard!$M$40</c:f>
              <c:strCache>
                <c:ptCount val="1"/>
                <c:pt idx="0">
                  <c:v>Gas Peaker</c:v>
                </c:pt>
              </c:strCache>
            </c:strRef>
          </c:tx>
          <c:spPr>
            <a:ln w="19050" cap="rnd">
              <a:solidFill>
                <a:schemeClr val="tx1"/>
              </a:solidFill>
              <a:prstDash val="sysDot"/>
              <a:round/>
            </a:ln>
            <a:effectLst/>
          </c:spPr>
          <c:marker>
            <c:symbol val="none"/>
          </c:marker>
          <c:dLbls>
            <c:dLbl>
              <c:idx val="13"/>
              <c:layout>
                <c:manualLayout>
                  <c:x val="1.2927006813451951E-2"/>
                  <c:y val="-3.6304609511721175E-3"/>
                </c:manualLayout>
              </c:layout>
              <c:spPr>
                <a:noFill/>
                <a:ln>
                  <a:noFill/>
                </a:ln>
                <a:effectLst/>
              </c:spPr>
              <c:txPr>
                <a:bodyPr rot="0" spcFirstLastPara="1" vertOverflow="ellipsis" vert="horz" wrap="square" lIns="38100" tIns="19050" rIns="38100" bIns="19050" anchor="ctr" anchorCtr="1">
                  <a:spAutoFit/>
                </a:bodyPr>
                <a:lstStyle/>
                <a:p>
                  <a:pPr>
                    <a:defRPr sz="600" b="1" i="0" u="none" strike="noStrike" kern="1200" baseline="0">
                      <a:solidFill>
                        <a:sysClr val="windowText" lastClr="000000"/>
                      </a:solidFill>
                      <a:latin typeface="Arial Nova Light" panose="020B0304020202020204" pitchFamily="34" charset="0"/>
                      <a:ea typeface="+mn-ea"/>
                      <a:cs typeface="+mn-cs"/>
                    </a:defRPr>
                  </a:pPr>
                  <a:endParaRPr lang="en-US"/>
                </a:p>
              </c:txP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A-5D95-43DC-B5BE-851F4D829361}"/>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Arial Nova Light" panose="020B0304020202020204" pitchFamily="34" charset="0"/>
                    <a:ea typeface="+mn-ea"/>
                    <a:cs typeface="+mn-cs"/>
                  </a:defRPr>
                </a:pPr>
                <a:endParaRPr lang="en-US"/>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Dashboard!$N$25:$AA$25</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Dashboard!$N$40:$AA$40</c:f>
              <c:numCache>
                <c:formatCode>_-"$"* #,##0_-;\-"$"* #,##0_-;_-"$"* "-"??_-;_-@_-</c:formatCode>
                <c:ptCount val="14"/>
                <c:pt idx="0">
                  <c:v>194.24595429702038</c:v>
                </c:pt>
                <c:pt idx="1">
                  <c:v>196.07381077207</c:v>
                </c:pt>
                <c:pt idx="2">
                  <c:v>198.02973908773842</c:v>
                </c:pt>
                <c:pt idx="3">
                  <c:v>200.06318309402559</c:v>
                </c:pt>
                <c:pt idx="4">
                  <c:v>201.75771976593163</c:v>
                </c:pt>
                <c:pt idx="5">
                  <c:v>203.11334910345639</c:v>
                </c:pt>
                <c:pt idx="6">
                  <c:v>204.13007110659998</c:v>
                </c:pt>
                <c:pt idx="7">
                  <c:v>204.80788577536237</c:v>
                </c:pt>
                <c:pt idx="8">
                  <c:v>205.14679310974358</c:v>
                </c:pt>
                <c:pt idx="9">
                  <c:v>205.14679310974358</c:v>
                </c:pt>
                <c:pt idx="10">
                  <c:v>205.14679310974358</c:v>
                </c:pt>
                <c:pt idx="11">
                  <c:v>205.14679310974358</c:v>
                </c:pt>
                <c:pt idx="12">
                  <c:v>205.14679310974358</c:v>
                </c:pt>
                <c:pt idx="13">
                  <c:v>205.14679310974358</c:v>
                </c:pt>
              </c:numCache>
            </c:numRef>
          </c:val>
          <c:smooth val="0"/>
          <c:extLst xmlns:c15="http://schemas.microsoft.com/office/drawing/2012/chart">
            <c:ext xmlns:c16="http://schemas.microsoft.com/office/drawing/2014/chart" uri="{C3380CC4-5D6E-409C-BE32-E72D297353CC}">
              <c16:uniqueId val="{0000000B-5D95-43DC-B5BE-851F4D829361}"/>
            </c:ext>
          </c:extLst>
        </c:ser>
        <c:ser>
          <c:idx val="6"/>
          <c:order val="6"/>
          <c:tx>
            <c:strRef>
              <c:f>Dashboard!$M$41</c:f>
              <c:strCache>
                <c:ptCount val="1"/>
                <c:pt idx="0">
                  <c:v>CCGT</c:v>
                </c:pt>
              </c:strCache>
            </c:strRef>
          </c:tx>
          <c:spPr>
            <a:ln w="19050" cap="rnd">
              <a:solidFill>
                <a:schemeClr val="tx1">
                  <a:lumMod val="75000"/>
                  <a:lumOff val="25000"/>
                </a:schemeClr>
              </a:solidFill>
              <a:prstDash val="dash"/>
              <a:round/>
            </a:ln>
            <a:effectLst/>
          </c:spPr>
          <c:marker>
            <c:symbol val="none"/>
          </c:marker>
          <c:cat>
            <c:numRef>
              <c:f>Dashboard!$N$25:$AA$25</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Dashboard!$N$41:$AA$41</c:f>
              <c:numCache>
                <c:formatCode>_-"$"* #,##0_-;\-"$"* #,##0_-;_-"$"* "-"??_-;_-@_-</c:formatCode>
                <c:ptCount val="14"/>
                <c:pt idx="0">
                  <c:v>621.61003232211897</c:v>
                </c:pt>
                <c:pt idx="1">
                  <c:v>630.14295262231735</c:v>
                </c:pt>
                <c:pt idx="2">
                  <c:v>638.54246068499094</c:v>
                </c:pt>
                <c:pt idx="3">
                  <c:v>646.67623671013973</c:v>
                </c:pt>
                <c:pt idx="4">
                  <c:v>653.45438339776365</c:v>
                </c:pt>
                <c:pt idx="5">
                  <c:v>658.87690074786292</c:v>
                </c:pt>
                <c:pt idx="6">
                  <c:v>662.94378876043731</c:v>
                </c:pt>
                <c:pt idx="7">
                  <c:v>665.65504743548695</c:v>
                </c:pt>
                <c:pt idx="8">
                  <c:v>667.01067677301182</c:v>
                </c:pt>
                <c:pt idx="9">
                  <c:v>667.01067677301182</c:v>
                </c:pt>
                <c:pt idx="10">
                  <c:v>667.01067677301182</c:v>
                </c:pt>
                <c:pt idx="11">
                  <c:v>667.01067677301182</c:v>
                </c:pt>
                <c:pt idx="12">
                  <c:v>667.01067677301182</c:v>
                </c:pt>
                <c:pt idx="13">
                  <c:v>667.01067677301182</c:v>
                </c:pt>
              </c:numCache>
            </c:numRef>
          </c:val>
          <c:smooth val="0"/>
          <c:extLst>
            <c:ext xmlns:c16="http://schemas.microsoft.com/office/drawing/2014/chart" uri="{C3380CC4-5D6E-409C-BE32-E72D297353CC}">
              <c16:uniqueId val="{00000000-27A1-4DF2-BC9C-5411C8573173}"/>
            </c:ext>
          </c:extLst>
        </c:ser>
        <c:dLbls>
          <c:showLegendKey val="0"/>
          <c:showVal val="0"/>
          <c:showCatName val="0"/>
          <c:showSerName val="0"/>
          <c:showPercent val="0"/>
          <c:showBubbleSize val="0"/>
        </c:dLbls>
        <c:smooth val="0"/>
        <c:axId val="1301862479"/>
        <c:axId val="1301852495"/>
        <c:extLst/>
      </c:lineChart>
      <c:catAx>
        <c:axId val="1301862479"/>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Arial Nova Light" panose="020B0304020202020204" pitchFamily="34" charset="0"/>
                    <a:ea typeface="+mn-ea"/>
                    <a:cs typeface="+mn-cs"/>
                  </a:defRPr>
                </a:pPr>
                <a:r>
                  <a:rPr lang="en-CA" sz="900"/>
                  <a:t>Installation</a:t>
                </a:r>
                <a:r>
                  <a:rPr lang="en-CA" sz="900" baseline="0"/>
                  <a:t> Year</a:t>
                </a:r>
                <a:endParaRPr lang="en-CA" sz="900"/>
              </a:p>
            </c:rich>
          </c:tx>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Nova Light" panose="020B0304020202020204" pitchFamily="34" charset="0"/>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ova Light" panose="020B0304020202020204" pitchFamily="34" charset="0"/>
                <a:ea typeface="+mn-ea"/>
                <a:cs typeface="+mn-cs"/>
              </a:defRPr>
            </a:pPr>
            <a:endParaRPr lang="en-US"/>
          </a:p>
        </c:txPr>
        <c:crossAx val="1301852495"/>
        <c:crosses val="autoZero"/>
        <c:auto val="1"/>
        <c:lblAlgn val="ctr"/>
        <c:lblOffset val="100"/>
        <c:noMultiLvlLbl val="0"/>
      </c:catAx>
      <c:valAx>
        <c:axId val="130185249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lumMod val="65000"/>
                        <a:lumOff val="35000"/>
                      </a:schemeClr>
                    </a:solidFill>
                    <a:latin typeface="Arial Nova Light" panose="020B0304020202020204" pitchFamily="34" charset="0"/>
                    <a:ea typeface="+mn-ea"/>
                    <a:cs typeface="+mn-cs"/>
                  </a:defRPr>
                </a:pPr>
                <a:r>
                  <a:rPr lang="en-CA" sz="800"/>
                  <a:t>OPEX (CA$2022/kW-yr)</a:t>
                </a:r>
              </a:p>
            </c:rich>
          </c:tx>
          <c:overlay val="0"/>
          <c:spPr>
            <a:noFill/>
            <a:ln>
              <a:noFill/>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Arial Nova Light" panose="020B0304020202020204" pitchFamily="34" charset="0"/>
                  <a:ea typeface="+mn-ea"/>
                  <a:cs typeface="+mn-cs"/>
                </a:defRPr>
              </a:pPr>
              <a:endParaRPr lang="en-US"/>
            </a:p>
          </c:txPr>
        </c:title>
        <c:numFmt formatCode="_-&quot;$&quot;* #,##0_-;\-&quot;$&quot;* #,##0_-;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ova Light" panose="020B0304020202020204" pitchFamily="34" charset="0"/>
                <a:ea typeface="+mn-ea"/>
                <a:cs typeface="+mn-cs"/>
              </a:defRPr>
            </a:pPr>
            <a:endParaRPr lang="en-US"/>
          </a:p>
        </c:txPr>
        <c:crossAx val="1301862479"/>
        <c:crosses val="autoZero"/>
        <c:crossBetween val="between"/>
      </c:valAx>
      <c:spPr>
        <a:noFill/>
        <a:ln>
          <a:noFill/>
        </a:ln>
        <a:effectLst/>
      </c:spPr>
    </c:plotArea>
    <c:legend>
      <c:legendPos val="b"/>
      <c:layout>
        <c:manualLayout>
          <c:xMode val="edge"/>
          <c:yMode val="edge"/>
          <c:x val="2.2835628152562338E-2"/>
          <c:y val="0.84922312061572169"/>
          <c:w val="0.97548256128438871"/>
          <c:h val="0.1507768506904246"/>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Arial Nova Light" panose="020B0304020202020204" pitchFamily="34"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50000"/>
          <a:lumOff val="50000"/>
        </a:schemeClr>
      </a:solidFill>
      <a:round/>
    </a:ln>
    <a:effectLst/>
  </c:spPr>
  <c:txPr>
    <a:bodyPr/>
    <a:lstStyle/>
    <a:p>
      <a:pPr>
        <a:defRPr sz="1000">
          <a:latin typeface="Arial Nova Light" panose="020B03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Dashboard!$L$43</c:f>
          <c:strCache>
            <c:ptCount val="1"/>
            <c:pt idx="0">
              <c:v>Ontario LCOE (CA$2022/kWh)</c:v>
            </c:pt>
          </c:strCache>
        </c:strRef>
      </c:tx>
      <c:overlay val="0"/>
      <c:spPr>
        <a:noFill/>
        <a:ln>
          <a:noFill/>
        </a:ln>
        <a:effectLst/>
      </c:spPr>
      <c:txPr>
        <a:bodyPr rot="0" spcFirstLastPara="1" vertOverflow="ellipsis" vert="horz" wrap="square" anchor="ctr" anchorCtr="1"/>
        <a:lstStyle/>
        <a:p>
          <a:pPr>
            <a:defRPr sz="1050" b="0" i="0" u="none" strike="noStrike" kern="1200" spc="0" baseline="0">
              <a:solidFill>
                <a:srgbClr val="002060"/>
              </a:solidFill>
              <a:latin typeface="Arial Nova Light" panose="020B0304020202020204" pitchFamily="34" charset="0"/>
              <a:ea typeface="+mn-ea"/>
              <a:cs typeface="+mn-cs"/>
            </a:defRPr>
          </a:pPr>
          <a:endParaRPr lang="en-US"/>
        </a:p>
      </c:txPr>
    </c:title>
    <c:autoTitleDeleted val="0"/>
    <c:plotArea>
      <c:layout>
        <c:manualLayout>
          <c:layoutTarget val="inner"/>
          <c:xMode val="edge"/>
          <c:yMode val="edge"/>
          <c:x val="0.17134116100130181"/>
          <c:y val="0.16045351473922903"/>
          <c:w val="0.63932623701764757"/>
          <c:h val="0.49885489031608748"/>
        </c:manualLayout>
      </c:layout>
      <c:lineChart>
        <c:grouping val="standard"/>
        <c:varyColors val="0"/>
        <c:ser>
          <c:idx val="0"/>
          <c:order val="0"/>
          <c:tx>
            <c:strRef>
              <c:f>Dashboard!$M$44</c:f>
              <c:strCache>
                <c:ptCount val="1"/>
                <c:pt idx="0">
                  <c:v>Wind</c:v>
                </c:pt>
              </c:strCache>
            </c:strRef>
          </c:tx>
          <c:spPr>
            <a:ln w="19050" cap="rnd">
              <a:solidFill>
                <a:schemeClr val="accent1"/>
              </a:solidFill>
              <a:round/>
            </a:ln>
            <a:effectLst/>
          </c:spPr>
          <c:marker>
            <c:symbol val="none"/>
          </c:marker>
          <c:dLbls>
            <c:dLbl>
              <c:idx val="13"/>
              <c:layout>
                <c:manualLayout>
                  <c:x val="0.11079926730131132"/>
                  <c:y val="1.8402256667286114E-4"/>
                </c:manualLayout>
              </c:layout>
              <c:spPr>
                <a:noFill/>
                <a:ln>
                  <a:noFill/>
                </a:ln>
                <a:effectLst/>
              </c:spPr>
              <c:txPr>
                <a:bodyPr rot="0" spcFirstLastPara="1" vertOverflow="ellipsis" vert="horz" wrap="square" lIns="38100" tIns="19050" rIns="38100" bIns="19050" anchor="ctr" anchorCtr="0">
                  <a:spAutoFit/>
                </a:bodyPr>
                <a:lstStyle/>
                <a:p>
                  <a:pPr algn="r">
                    <a:defRPr sz="600" b="1" i="0" u="none" strike="noStrike" kern="1200" baseline="0">
                      <a:solidFill>
                        <a:schemeClr val="accent1"/>
                      </a:solidFill>
                      <a:latin typeface="Arial Nova Light" panose="020B0304020202020204" pitchFamily="34" charset="0"/>
                      <a:ea typeface="+mn-ea"/>
                      <a:cs typeface="+mn-cs"/>
                    </a:defRPr>
                  </a:pPr>
                  <a:endParaRPr lang="en-US"/>
                </a:p>
              </c:txP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0-7E9D-4E7C-A8C8-CC9548A22B9C}"/>
                </c:ext>
              </c:extLst>
            </c:dLbl>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Arial Nova Light" panose="020B0304020202020204" pitchFamily="34" charset="0"/>
                    <a:ea typeface="+mn-ea"/>
                    <a:cs typeface="+mn-cs"/>
                  </a:defRPr>
                </a:pPr>
                <a:endParaRPr lang="en-US"/>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Dashboard!$N$25:$AA$25</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Dashboard!$N$44:$AA$44</c:f>
              <c:numCache>
                <c:formatCode>_-"$"* #,##0.00_-;\-"$"* #,##0.00_-;_-"$"* "-"??_-;_-@_-</c:formatCode>
                <c:ptCount val="14"/>
                <c:pt idx="0">
                  <c:v>5.2017492710333423E-2</c:v>
                </c:pt>
                <c:pt idx="1">
                  <c:v>4.9513233520065793E-2</c:v>
                </c:pt>
                <c:pt idx="2">
                  <c:v>4.7610584576763711E-2</c:v>
                </c:pt>
                <c:pt idx="3">
                  <c:v>4.5122695197836356E-2</c:v>
                </c:pt>
                <c:pt idx="4">
                  <c:v>4.3138643423956041E-2</c:v>
                </c:pt>
                <c:pt idx="5">
                  <c:v>4.1431182066047602E-2</c:v>
                </c:pt>
                <c:pt idx="6">
                  <c:v>3.9711967531764515E-2</c:v>
                </c:pt>
                <c:pt idx="7">
                  <c:v>3.8373138567489376E-2</c:v>
                </c:pt>
                <c:pt idx="8">
                  <c:v>3.6564460554008527E-2</c:v>
                </c:pt>
                <c:pt idx="9">
                  <c:v>3.510744615257648E-2</c:v>
                </c:pt>
                <c:pt idx="10">
                  <c:v>3.40320820699202E-2</c:v>
                </c:pt>
                <c:pt idx="11">
                  <c:v>3.2409390925978179E-2</c:v>
                </c:pt>
                <c:pt idx="12">
                  <c:v>3.1215973375792318E-2</c:v>
                </c:pt>
                <c:pt idx="13">
                  <c:v>2.8755383054468512E-2</c:v>
                </c:pt>
              </c:numCache>
            </c:numRef>
          </c:val>
          <c:smooth val="0"/>
          <c:extLst xmlns:c15="http://schemas.microsoft.com/office/drawing/2012/chart">
            <c:ext xmlns:c16="http://schemas.microsoft.com/office/drawing/2014/chart" uri="{C3380CC4-5D6E-409C-BE32-E72D297353CC}">
              <c16:uniqueId val="{00000001-7E9D-4E7C-A8C8-CC9548A22B9C}"/>
            </c:ext>
          </c:extLst>
        </c:ser>
        <c:ser>
          <c:idx val="1"/>
          <c:order val="1"/>
          <c:tx>
            <c:strRef>
              <c:f>Dashboard!$M$45</c:f>
              <c:strCache>
                <c:ptCount val="1"/>
                <c:pt idx="0">
                  <c:v>Solar</c:v>
                </c:pt>
              </c:strCache>
            </c:strRef>
          </c:tx>
          <c:spPr>
            <a:ln w="19050" cap="rnd">
              <a:solidFill>
                <a:schemeClr val="accent2"/>
              </a:solidFill>
              <a:round/>
            </a:ln>
            <a:effectLst/>
          </c:spPr>
          <c:marker>
            <c:symbol val="none"/>
          </c:marker>
          <c:dLbls>
            <c:dLbl>
              <c:idx val="13"/>
              <c:layout>
                <c:manualLayout>
                  <c:x val="3.9956853551216469E-2"/>
                  <c:y val="2.2859764312511674E-2"/>
                </c:manualLayout>
              </c:layout>
              <c:spPr>
                <a:noFill/>
                <a:ln>
                  <a:noFill/>
                </a:ln>
                <a:effectLst/>
              </c:spPr>
              <c:txPr>
                <a:bodyPr rot="0" spcFirstLastPara="1" vertOverflow="ellipsis" vert="horz" wrap="square" lIns="38100" tIns="19050" rIns="38100" bIns="19050" anchor="ctr" anchorCtr="0">
                  <a:spAutoFit/>
                </a:bodyPr>
                <a:lstStyle/>
                <a:p>
                  <a:pPr algn="r">
                    <a:defRPr sz="600" b="1" i="0" u="none" strike="noStrike" kern="1200" baseline="0">
                      <a:solidFill>
                        <a:schemeClr val="accent2"/>
                      </a:solidFill>
                      <a:latin typeface="Arial Nova Light" panose="020B0304020202020204" pitchFamily="34" charset="0"/>
                      <a:ea typeface="+mn-ea"/>
                      <a:cs typeface="+mn-cs"/>
                    </a:defRPr>
                  </a:pPr>
                  <a:endParaRPr lang="en-US"/>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7E9D-4E7C-A8C8-CC9548A22B9C}"/>
                </c:ext>
              </c:extLst>
            </c:dLbl>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Arial Nova Light" panose="020B0304020202020204" pitchFamily="34" charset="0"/>
                    <a:ea typeface="+mn-ea"/>
                    <a:cs typeface="+mn-cs"/>
                  </a:defRPr>
                </a:pPr>
                <a:endParaRPr lang="en-US"/>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Dashboard!$N$25:$AA$25</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Dashboard!$N$45:$AA$45</c:f>
              <c:numCache>
                <c:formatCode>_-"$"* #,##0.00_-;\-"$"* #,##0.00_-;_-"$"* "-"??_-;_-@_-</c:formatCode>
                <c:ptCount val="14"/>
                <c:pt idx="0">
                  <c:v>8.8155474520390589E-2</c:v>
                </c:pt>
                <c:pt idx="1">
                  <c:v>8.3066981305204526E-2</c:v>
                </c:pt>
                <c:pt idx="2">
                  <c:v>7.9947123039100565E-2</c:v>
                </c:pt>
                <c:pt idx="3">
                  <c:v>7.8286857135013765E-2</c:v>
                </c:pt>
                <c:pt idx="4">
                  <c:v>7.644528735041789E-2</c:v>
                </c:pt>
                <c:pt idx="5">
                  <c:v>7.4930365818539346E-2</c:v>
                </c:pt>
                <c:pt idx="6">
                  <c:v>7.3648364086015383E-2</c:v>
                </c:pt>
                <c:pt idx="7">
                  <c:v>7.2998889326943456E-2</c:v>
                </c:pt>
                <c:pt idx="8">
                  <c:v>7.199578486875774E-2</c:v>
                </c:pt>
                <c:pt idx="9">
                  <c:v>7.1299212545042137E-2</c:v>
                </c:pt>
                <c:pt idx="10">
                  <c:v>7.0699630925377621E-2</c:v>
                </c:pt>
                <c:pt idx="11">
                  <c:v>7.0542917446793862E-2</c:v>
                </c:pt>
                <c:pt idx="12">
                  <c:v>7.0071438789096052E-2</c:v>
                </c:pt>
                <c:pt idx="13">
                  <c:v>6.9663452697774839E-2</c:v>
                </c:pt>
              </c:numCache>
            </c:numRef>
          </c:val>
          <c:smooth val="0"/>
          <c:extLst xmlns:c15="http://schemas.microsoft.com/office/drawing/2012/chart">
            <c:ext xmlns:c16="http://schemas.microsoft.com/office/drawing/2014/chart" uri="{C3380CC4-5D6E-409C-BE32-E72D297353CC}">
              <c16:uniqueId val="{00000003-7E9D-4E7C-A8C8-CC9548A22B9C}"/>
            </c:ext>
          </c:extLst>
        </c:ser>
        <c:ser>
          <c:idx val="2"/>
          <c:order val="2"/>
          <c:tx>
            <c:strRef>
              <c:f>Dashboard!$M$46</c:f>
              <c:strCache>
                <c:ptCount val="1"/>
                <c:pt idx="0">
                  <c:v>Energy Storage (8hr)</c:v>
                </c:pt>
              </c:strCache>
            </c:strRef>
          </c:tx>
          <c:spPr>
            <a:ln w="19050" cap="rnd">
              <a:solidFill>
                <a:schemeClr val="accent6">
                  <a:lumMod val="75000"/>
                </a:schemeClr>
              </a:solidFill>
              <a:prstDash val="lgDash"/>
              <a:round/>
            </a:ln>
            <a:effectLst/>
          </c:spPr>
          <c:marker>
            <c:symbol val="none"/>
          </c:marker>
          <c:dLbls>
            <c:dLbl>
              <c:idx val="13"/>
              <c:layout>
                <c:manualLayout>
                  <c:x val="-2.6060913737333093E-7"/>
                  <c:y val="-6.1326254367689587E-3"/>
                </c:manualLayout>
              </c:layout>
              <c:spPr>
                <a:noFill/>
                <a:ln>
                  <a:noFill/>
                </a:ln>
                <a:effectLst/>
              </c:spPr>
              <c:txPr>
                <a:bodyPr rot="0" spcFirstLastPara="1" vertOverflow="ellipsis" vert="horz" wrap="square" lIns="38100" tIns="19050" rIns="38100" bIns="19050" anchor="ctr" anchorCtr="0">
                  <a:noAutofit/>
                </a:bodyPr>
                <a:lstStyle/>
                <a:p>
                  <a:pPr algn="r">
                    <a:defRPr sz="600" b="1" i="0" u="none" strike="noStrike" kern="1200" baseline="0">
                      <a:solidFill>
                        <a:schemeClr val="accent6">
                          <a:lumMod val="50000"/>
                        </a:schemeClr>
                      </a:solidFill>
                      <a:latin typeface="Arial Nova Light" panose="020B0304020202020204" pitchFamily="34" charset="0"/>
                      <a:ea typeface="+mn-ea"/>
                      <a:cs typeface="+mn-cs"/>
                    </a:defRPr>
                  </a:pPr>
                  <a:endParaRPr lang="en-US"/>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1060199062737478"/>
                      <c:h val="4.7077632930817813E-2"/>
                    </c:manualLayout>
                  </c15:layout>
                </c:ext>
                <c:ext xmlns:c16="http://schemas.microsoft.com/office/drawing/2014/chart" uri="{C3380CC4-5D6E-409C-BE32-E72D297353CC}">
                  <c16:uniqueId val="{00000004-7E9D-4E7C-A8C8-CC9548A22B9C}"/>
                </c:ext>
              </c:extLst>
            </c:dLbl>
            <c:spPr>
              <a:noFill/>
              <a:ln>
                <a:noFill/>
              </a:ln>
              <a:effectLst/>
            </c:spPr>
            <c:txPr>
              <a:bodyPr rot="0" spcFirstLastPara="1" vertOverflow="ellipsis" vert="horz" wrap="square" lIns="38100" tIns="19050" rIns="38100" bIns="19050" anchor="ctr" anchorCtr="0">
                <a:spAutoFit/>
              </a:bodyPr>
              <a:lstStyle/>
              <a:p>
                <a:pPr algn="r">
                  <a:defRPr sz="1000" b="0" i="0" u="none" strike="noStrike" kern="1200" baseline="0">
                    <a:solidFill>
                      <a:schemeClr val="tx1">
                        <a:lumMod val="75000"/>
                        <a:lumOff val="25000"/>
                      </a:schemeClr>
                    </a:solidFill>
                    <a:latin typeface="Arial Nova Light" panose="020B0304020202020204" pitchFamily="34" charset="0"/>
                    <a:ea typeface="+mn-ea"/>
                    <a:cs typeface="+mn-cs"/>
                  </a:defRPr>
                </a:pPr>
                <a:endParaRPr lang="en-US"/>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Dashboard!$N$25:$AA$25</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Dashboard!$N$46:$AA$46</c:f>
              <c:numCache>
                <c:formatCode>_-"$"* #,##0.00_-;\-"$"* #,##0.00_-;_-"$"* "-"??_-;_-@_-</c:formatCode>
                <c:ptCount val="14"/>
                <c:pt idx="0">
                  <c:v>0.29947054236903625</c:v>
                </c:pt>
                <c:pt idx="1">
                  <c:v>0.27527166601525749</c:v>
                </c:pt>
                <c:pt idx="2">
                  <c:v>0.25722019188228595</c:v>
                </c:pt>
                <c:pt idx="3">
                  <c:v>0.24265796898328165</c:v>
                </c:pt>
                <c:pt idx="4">
                  <c:v>0.23041648508880588</c:v>
                </c:pt>
                <c:pt idx="5">
                  <c:v>0.21985537439346081</c:v>
                </c:pt>
                <c:pt idx="6">
                  <c:v>0.21057760181091262</c:v>
                </c:pt>
                <c:pt idx="7">
                  <c:v>0.20231650191041281</c:v>
                </c:pt>
                <c:pt idx="8">
                  <c:v>0.19488266785728423</c:v>
                </c:pt>
                <c:pt idx="9">
                  <c:v>0.18813591283612874</c:v>
                </c:pt>
                <c:pt idx="10">
                  <c:v>0.18196915746468326</c:v>
                </c:pt>
                <c:pt idx="11">
                  <c:v>0.17629855002897341</c:v>
                </c:pt>
                <c:pt idx="12">
                  <c:v>0.17105709075603326</c:v>
                </c:pt>
                <c:pt idx="13">
                  <c:v>0.16435983300573187</c:v>
                </c:pt>
              </c:numCache>
            </c:numRef>
          </c:val>
          <c:smooth val="0"/>
          <c:extLst xmlns:c15="http://schemas.microsoft.com/office/drawing/2012/chart">
            <c:ext xmlns:c16="http://schemas.microsoft.com/office/drawing/2014/chart" uri="{C3380CC4-5D6E-409C-BE32-E72D297353CC}">
              <c16:uniqueId val="{00000005-7E9D-4E7C-A8C8-CC9548A22B9C}"/>
            </c:ext>
          </c:extLst>
        </c:ser>
        <c:ser>
          <c:idx val="3"/>
          <c:order val="3"/>
          <c:tx>
            <c:strRef>
              <c:f>Dashboard!$M$47</c:f>
              <c:strCache>
                <c:ptCount val="1"/>
                <c:pt idx="0">
                  <c:v>Solar + ES (8hr)</c:v>
                </c:pt>
              </c:strCache>
            </c:strRef>
          </c:tx>
          <c:spPr>
            <a:ln w="19050" cap="rnd">
              <a:solidFill>
                <a:schemeClr val="accent2"/>
              </a:solidFill>
              <a:prstDash val="sysDash"/>
              <a:round/>
            </a:ln>
            <a:effectLst/>
          </c:spPr>
          <c:marker>
            <c:symbol val="none"/>
          </c:marker>
          <c:dLbls>
            <c:dLbl>
              <c:idx val="13"/>
              <c:layout>
                <c:manualLayout>
                  <c:x val="-1.3275299153228792E-2"/>
                  <c:y val="2.9973544541816489E-2"/>
                </c:manualLayout>
              </c:layout>
              <c:spPr>
                <a:noFill/>
                <a:ln>
                  <a:noFill/>
                </a:ln>
                <a:effectLst/>
              </c:spPr>
              <c:txPr>
                <a:bodyPr rot="0" spcFirstLastPara="1" vertOverflow="ellipsis" vert="horz" wrap="square" lIns="38100" tIns="19050" rIns="38100" bIns="19050" anchor="ctr" anchorCtr="0">
                  <a:noAutofit/>
                </a:bodyPr>
                <a:lstStyle/>
                <a:p>
                  <a:pPr algn="r">
                    <a:defRPr sz="600" b="1" i="0" u="none" strike="noStrike" kern="1200" baseline="0">
                      <a:solidFill>
                        <a:schemeClr val="accent2"/>
                      </a:solidFill>
                      <a:latin typeface="Arial Nova Light" panose="020B0304020202020204" pitchFamily="34" charset="0"/>
                      <a:ea typeface="+mn-ea"/>
                      <a:cs typeface="+mn-cs"/>
                    </a:defRPr>
                  </a:pPr>
                  <a:endParaRPr lang="en-US"/>
                </a:p>
              </c:txPr>
              <c:showLegendKey val="0"/>
              <c:showVal val="0"/>
              <c:showCatName val="0"/>
              <c:showSerName val="1"/>
              <c:showPercent val="0"/>
              <c:showBubbleSize val="0"/>
              <c:extLst>
                <c:ext xmlns:c15="http://schemas.microsoft.com/office/drawing/2012/chart" uri="{CE6537A1-D6FC-4f65-9D91-7224C49458BB}">
                  <c15:layout>
                    <c:manualLayout>
                      <c:w val="0.19419831334965801"/>
                      <c:h val="5.084026011082609E-2"/>
                    </c:manualLayout>
                  </c15:layout>
                </c:ext>
                <c:ext xmlns:c16="http://schemas.microsoft.com/office/drawing/2014/chart" uri="{C3380CC4-5D6E-409C-BE32-E72D297353CC}">
                  <c16:uniqueId val="{00000006-7E9D-4E7C-A8C8-CC9548A22B9C}"/>
                </c:ext>
              </c:extLst>
            </c:dLbl>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Arial Nova Light" panose="020B03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noFill/>
                      <a:round/>
                    </a:ln>
                    <a:effectLst/>
                  </c:spPr>
                </c15:leaderLines>
              </c:ext>
            </c:extLst>
          </c:dLbls>
          <c:cat>
            <c:numRef>
              <c:f>Dashboard!$N$25:$AA$25</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Dashboard!$N$47:$AA$47</c:f>
              <c:numCache>
                <c:formatCode>_-"$"* #,##0.00_-;\-"$"* #,##0.00_-;_-"$"* "-"??_-;_-@_-</c:formatCode>
                <c:ptCount val="14"/>
                <c:pt idx="0">
                  <c:v>0.2294753143861</c:v>
                </c:pt>
                <c:pt idx="1">
                  <c:v>0.21158089721358725</c:v>
                </c:pt>
                <c:pt idx="2">
                  <c:v>0.19868554787216697</c:v>
                </c:pt>
                <c:pt idx="3">
                  <c:v>0.19056438635839243</c:v>
                </c:pt>
                <c:pt idx="4">
                  <c:v>0.18172394024218502</c:v>
                </c:pt>
                <c:pt idx="5">
                  <c:v>0.17476977645964301</c:v>
                </c:pt>
                <c:pt idx="6">
                  <c:v>0.16869999555728465</c:v>
                </c:pt>
                <c:pt idx="7">
                  <c:v>0.16488536793097391</c:v>
                </c:pt>
                <c:pt idx="8">
                  <c:v>0.15994619862231207</c:v>
                </c:pt>
                <c:pt idx="9">
                  <c:v>0.15568736898960342</c:v>
                </c:pt>
                <c:pt idx="10">
                  <c:v>0.151837338658524</c:v>
                </c:pt>
                <c:pt idx="11">
                  <c:v>0.14951868202189131</c:v>
                </c:pt>
                <c:pt idx="12">
                  <c:v>0.14623092919482641</c:v>
                </c:pt>
                <c:pt idx="13">
                  <c:v>0.1426537087294871</c:v>
                </c:pt>
              </c:numCache>
            </c:numRef>
          </c:val>
          <c:smooth val="0"/>
          <c:extLst>
            <c:ext xmlns:c16="http://schemas.microsoft.com/office/drawing/2014/chart" uri="{C3380CC4-5D6E-409C-BE32-E72D297353CC}">
              <c16:uniqueId val="{00000007-7E9D-4E7C-A8C8-CC9548A22B9C}"/>
            </c:ext>
          </c:extLst>
        </c:ser>
        <c:ser>
          <c:idx val="4"/>
          <c:order val="4"/>
          <c:tx>
            <c:strRef>
              <c:f>Dashboard!$M$48</c:f>
              <c:strCache>
                <c:ptCount val="1"/>
                <c:pt idx="0">
                  <c:v>Wind + ES (8hr)</c:v>
                </c:pt>
              </c:strCache>
            </c:strRef>
          </c:tx>
          <c:spPr>
            <a:ln w="19050" cap="rnd">
              <a:solidFill>
                <a:schemeClr val="accent1"/>
              </a:solidFill>
              <a:prstDash val="sysDash"/>
              <a:round/>
            </a:ln>
            <a:effectLst/>
          </c:spPr>
          <c:marker>
            <c:symbol val="none"/>
          </c:marker>
          <c:dLbls>
            <c:dLbl>
              <c:idx val="13"/>
              <c:layout>
                <c:manualLayout>
                  <c:x val="8.3533046802272554E-3"/>
                  <c:y val="-1.4433909405921827E-2"/>
                </c:manualLayout>
              </c:layout>
              <c:tx>
                <c:rich>
                  <a:bodyPr rot="0" spcFirstLastPara="1" vertOverflow="ellipsis" vert="horz" wrap="square" lIns="38100" tIns="19050" rIns="38100" bIns="19050" anchor="ctr" anchorCtr="0">
                    <a:spAutoFit/>
                  </a:bodyPr>
                  <a:lstStyle/>
                  <a:p>
                    <a:pPr algn="r">
                      <a:defRPr sz="600" b="1" i="0" u="none" strike="noStrike" kern="1200" baseline="0">
                        <a:solidFill>
                          <a:schemeClr val="accent1"/>
                        </a:solidFill>
                        <a:latin typeface="Arial Nova Light" panose="020B0304020202020204" pitchFamily="34" charset="0"/>
                        <a:ea typeface="+mn-ea"/>
                        <a:cs typeface="+mn-cs"/>
                      </a:defRPr>
                    </a:pPr>
                    <a:fld id="{5DB5E29E-5075-4E4C-BCB1-861874BBE4F6}" type="SERIESNAME">
                      <a:rPr lang="en-US" sz="600" b="1">
                        <a:solidFill>
                          <a:schemeClr val="accent1"/>
                        </a:solidFill>
                      </a:rPr>
                      <a:pPr algn="r">
                        <a:defRPr sz="600" b="1">
                          <a:solidFill>
                            <a:schemeClr val="accent1"/>
                          </a:solidFill>
                        </a:defRPr>
                      </a:pPr>
                      <a:t>[SERIES NAME]</a:t>
                    </a:fld>
                    <a:endParaRPr lang="en-US"/>
                  </a:p>
                </c:rich>
              </c:tx>
              <c:spPr>
                <a:noFill/>
                <a:ln>
                  <a:noFill/>
                </a:ln>
                <a:effectLst/>
              </c:spPr>
              <c:txPr>
                <a:bodyPr rot="0" spcFirstLastPara="1" vertOverflow="ellipsis" vert="horz" wrap="square" lIns="38100" tIns="19050" rIns="38100" bIns="19050" anchor="ctr" anchorCtr="0">
                  <a:spAutoFit/>
                </a:bodyPr>
                <a:lstStyle/>
                <a:p>
                  <a:pPr algn="r">
                    <a:defRPr sz="600" b="1" i="0" u="none" strike="noStrike" kern="1200" baseline="0">
                      <a:solidFill>
                        <a:schemeClr val="accent1"/>
                      </a:solidFill>
                      <a:latin typeface="Arial Nova Light" panose="020B0304020202020204" pitchFamily="34" charset="0"/>
                      <a:ea typeface="+mn-ea"/>
                      <a:cs typeface="+mn-cs"/>
                    </a:defRPr>
                  </a:pPr>
                  <a:endParaRPr lang="en-US"/>
                </a:p>
              </c:txPr>
              <c:showLegendKey val="0"/>
              <c:showVal val="0"/>
              <c:showCatName val="0"/>
              <c:showSerName val="1"/>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8-7E9D-4E7C-A8C8-CC9548A22B9C}"/>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Nova Light" panose="020B03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noFill/>
                      <a:round/>
                    </a:ln>
                    <a:effectLst/>
                  </c:spPr>
                </c15:leaderLines>
              </c:ext>
            </c:extLst>
          </c:dLbls>
          <c:cat>
            <c:numRef>
              <c:f>Dashboard!$N$25:$AA$25</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Dashboard!$N$48:$AA$48</c:f>
              <c:numCache>
                <c:formatCode>_-"$"* #,##0.00_-;\-"$"* #,##0.00_-;_-"$"* "-"??_-;_-@_-</c:formatCode>
                <c:ptCount val="14"/>
                <c:pt idx="0">
                  <c:v>0.11555304028466246</c:v>
                </c:pt>
                <c:pt idx="1">
                  <c:v>0.10765302667847286</c:v>
                </c:pt>
                <c:pt idx="2">
                  <c:v>0.10249501678980574</c:v>
                </c:pt>
                <c:pt idx="3">
                  <c:v>9.6397512481071493E-2</c:v>
                </c:pt>
                <c:pt idx="4">
                  <c:v>9.2127529180677042E-2</c:v>
                </c:pt>
                <c:pt idx="5">
                  <c:v>8.8001272893977647E-2</c:v>
                </c:pt>
                <c:pt idx="6">
                  <c:v>8.4143673154844806E-2</c:v>
                </c:pt>
                <c:pt idx="7">
                  <c:v>8.1541513267128024E-2</c:v>
                </c:pt>
                <c:pt idx="8">
                  <c:v>7.794990463234687E-2</c:v>
                </c:pt>
                <c:pt idx="9">
                  <c:v>7.5452992347889561E-2</c:v>
                </c:pt>
                <c:pt idx="10">
                  <c:v>7.2894874247257671E-2</c:v>
                </c:pt>
                <c:pt idx="11">
                  <c:v>7.0385742108950697E-2</c:v>
                </c:pt>
                <c:pt idx="12">
                  <c:v>6.7896964914992655E-2</c:v>
                </c:pt>
                <c:pt idx="13">
                  <c:v>6.3105429675206506E-2</c:v>
                </c:pt>
              </c:numCache>
            </c:numRef>
          </c:val>
          <c:smooth val="0"/>
          <c:extLst>
            <c:ext xmlns:c16="http://schemas.microsoft.com/office/drawing/2014/chart" uri="{C3380CC4-5D6E-409C-BE32-E72D297353CC}">
              <c16:uniqueId val="{00000009-7E9D-4E7C-A8C8-CC9548A22B9C}"/>
            </c:ext>
          </c:extLst>
        </c:ser>
        <c:ser>
          <c:idx val="5"/>
          <c:order val="5"/>
          <c:tx>
            <c:strRef>
              <c:f>Dashboard!$M$49</c:f>
              <c:strCache>
                <c:ptCount val="1"/>
                <c:pt idx="0">
                  <c:v>Gas Peaker</c:v>
                </c:pt>
              </c:strCache>
            </c:strRef>
          </c:tx>
          <c:spPr>
            <a:ln w="19050" cap="rnd">
              <a:solidFill>
                <a:schemeClr val="tx1"/>
              </a:solidFill>
              <a:prstDash val="sysDot"/>
              <a:round/>
            </a:ln>
            <a:effectLst/>
          </c:spPr>
          <c:marker>
            <c:symbol val="none"/>
          </c:marker>
          <c:dLbls>
            <c:dLbl>
              <c:idx val="13"/>
              <c:layout>
                <c:manualLayout>
                  <c:x val="1.2927006813451951E-2"/>
                  <c:y val="-3.6304609511721175E-3"/>
                </c:manualLayout>
              </c:layout>
              <c:spPr>
                <a:noFill/>
                <a:ln>
                  <a:noFill/>
                </a:ln>
                <a:effectLst/>
              </c:spPr>
              <c:txPr>
                <a:bodyPr rot="0" spcFirstLastPara="1" vertOverflow="ellipsis" vert="horz" wrap="square" lIns="38100" tIns="19050" rIns="38100" bIns="19050" anchor="ctr" anchorCtr="1">
                  <a:spAutoFit/>
                </a:bodyPr>
                <a:lstStyle/>
                <a:p>
                  <a:pPr>
                    <a:defRPr sz="600" b="1" i="0" u="none" strike="noStrike" kern="1200" baseline="0">
                      <a:solidFill>
                        <a:sysClr val="windowText" lastClr="000000"/>
                      </a:solidFill>
                      <a:latin typeface="Arial Nova Light" panose="020B0304020202020204" pitchFamily="34" charset="0"/>
                      <a:ea typeface="+mn-ea"/>
                      <a:cs typeface="+mn-cs"/>
                    </a:defRPr>
                  </a:pPr>
                  <a:endParaRPr lang="en-US"/>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A-7E9D-4E7C-A8C8-CC9548A22B9C}"/>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Arial Nova Light" panose="020B03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Dashboard!$N$25:$AA$25</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Dashboard!$N$49:$AA$49</c:f>
              <c:numCache>
                <c:formatCode>_-"$"* #,##0.00_-;\-"$"* #,##0.00_-;_-"$"* "-"??_-;_-@_-</c:formatCode>
                <c:ptCount val="14"/>
                <c:pt idx="0">
                  <c:v>0.23392007189542877</c:v>
                </c:pt>
                <c:pt idx="1">
                  <c:v>0.23468770574047923</c:v>
                </c:pt>
                <c:pt idx="2">
                  <c:v>0.23446191877460035</c:v>
                </c:pt>
                <c:pt idx="3">
                  <c:v>0.23469683923356052</c:v>
                </c:pt>
                <c:pt idx="4">
                  <c:v>0.23525796567636398</c:v>
                </c:pt>
                <c:pt idx="5">
                  <c:v>0.23534815033500348</c:v>
                </c:pt>
                <c:pt idx="6">
                  <c:v>0.23556525403548445</c:v>
                </c:pt>
                <c:pt idx="7">
                  <c:v>0.23551070289380321</c:v>
                </c:pt>
                <c:pt idx="8">
                  <c:v>0.23538378385196179</c:v>
                </c:pt>
                <c:pt idx="9">
                  <c:v>0.23488556649695719</c:v>
                </c:pt>
                <c:pt idx="10">
                  <c:v>0.23448699261295355</c:v>
                </c:pt>
                <c:pt idx="11">
                  <c:v>0.23408841872894992</c:v>
                </c:pt>
                <c:pt idx="12">
                  <c:v>0.2337894883159472</c:v>
                </c:pt>
                <c:pt idx="13">
                  <c:v>0.2333909144319436</c:v>
                </c:pt>
              </c:numCache>
            </c:numRef>
          </c:val>
          <c:smooth val="0"/>
          <c:extLst>
            <c:ext xmlns:c16="http://schemas.microsoft.com/office/drawing/2014/chart" uri="{C3380CC4-5D6E-409C-BE32-E72D297353CC}">
              <c16:uniqueId val="{0000000B-7E9D-4E7C-A8C8-CC9548A22B9C}"/>
            </c:ext>
          </c:extLst>
        </c:ser>
        <c:ser>
          <c:idx val="6"/>
          <c:order val="6"/>
          <c:tx>
            <c:strRef>
              <c:f>Dashboard!$M$50</c:f>
              <c:strCache>
                <c:ptCount val="1"/>
                <c:pt idx="0">
                  <c:v>CCGT</c:v>
                </c:pt>
              </c:strCache>
            </c:strRef>
          </c:tx>
          <c:spPr>
            <a:ln w="12700" cap="rnd">
              <a:solidFill>
                <a:schemeClr val="tx1">
                  <a:lumMod val="75000"/>
                  <a:lumOff val="25000"/>
                </a:schemeClr>
              </a:solidFill>
              <a:prstDash val="dash"/>
              <a:round/>
            </a:ln>
            <a:effectLst/>
          </c:spPr>
          <c:marker>
            <c:symbol val="none"/>
          </c:marker>
          <c:cat>
            <c:numRef>
              <c:f>Dashboard!$N$25:$AA$25</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Dashboard!$N$50:$AA$50</c:f>
              <c:numCache>
                <c:formatCode>_-"$"* #,##0.00_-;\-"$"* #,##0.00_-;_-"$"* "-"??_-;_-@_-</c:formatCode>
                <c:ptCount val="14"/>
                <c:pt idx="0">
                  <c:v>0.14716943277909431</c:v>
                </c:pt>
                <c:pt idx="1">
                  <c:v>0.14875134603708054</c:v>
                </c:pt>
                <c:pt idx="2">
                  <c:v>0.15012732423144606</c:v>
                </c:pt>
                <c:pt idx="3">
                  <c:v>0.15155245264685965</c:v>
                </c:pt>
                <c:pt idx="4">
                  <c:v>0.15275712637950078</c:v>
                </c:pt>
                <c:pt idx="5">
                  <c:v>0.15366454519028491</c:v>
                </c:pt>
                <c:pt idx="6">
                  <c:v>0.15435150931829672</c:v>
                </c:pt>
                <c:pt idx="7">
                  <c:v>0.15476681860414646</c:v>
                </c:pt>
                <c:pt idx="8">
                  <c:v>0.15496167320722382</c:v>
                </c:pt>
                <c:pt idx="9">
                  <c:v>0.15483367280874921</c:v>
                </c:pt>
                <c:pt idx="10">
                  <c:v>0.15475687256966444</c:v>
                </c:pt>
                <c:pt idx="11">
                  <c:v>0.15465447225088477</c:v>
                </c:pt>
                <c:pt idx="12">
                  <c:v>0.1545776720118</c:v>
                </c:pt>
                <c:pt idx="13">
                  <c:v>0.15447527169302028</c:v>
                </c:pt>
              </c:numCache>
            </c:numRef>
          </c:val>
          <c:smooth val="0"/>
          <c:extLst>
            <c:ext xmlns:c16="http://schemas.microsoft.com/office/drawing/2014/chart" uri="{C3380CC4-5D6E-409C-BE32-E72D297353CC}">
              <c16:uniqueId val="{00000000-D354-4FF5-9239-760EF994DD58}"/>
            </c:ext>
          </c:extLst>
        </c:ser>
        <c:dLbls>
          <c:showLegendKey val="0"/>
          <c:showVal val="0"/>
          <c:showCatName val="0"/>
          <c:showSerName val="0"/>
          <c:showPercent val="0"/>
          <c:showBubbleSize val="0"/>
        </c:dLbls>
        <c:smooth val="0"/>
        <c:axId val="1301862479"/>
        <c:axId val="1301852495"/>
        <c:extLst/>
      </c:lineChart>
      <c:catAx>
        <c:axId val="1301862479"/>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Arial Nova Light" panose="020B0304020202020204" pitchFamily="34" charset="0"/>
                    <a:ea typeface="+mn-ea"/>
                    <a:cs typeface="+mn-cs"/>
                  </a:defRPr>
                </a:pPr>
                <a:r>
                  <a:rPr lang="en-CA" sz="900"/>
                  <a:t>Installation</a:t>
                </a:r>
                <a:r>
                  <a:rPr lang="en-CA" sz="900" baseline="0"/>
                  <a:t> Year</a:t>
                </a:r>
                <a:endParaRPr lang="en-CA" sz="900"/>
              </a:p>
            </c:rich>
          </c:tx>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Nova Light" panose="020B0304020202020204" pitchFamily="34" charset="0"/>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ova Light" panose="020B0304020202020204" pitchFamily="34" charset="0"/>
                <a:ea typeface="+mn-ea"/>
                <a:cs typeface="+mn-cs"/>
              </a:defRPr>
            </a:pPr>
            <a:endParaRPr lang="en-US"/>
          </a:p>
        </c:txPr>
        <c:crossAx val="1301852495"/>
        <c:crosses val="autoZero"/>
        <c:auto val="1"/>
        <c:lblAlgn val="ctr"/>
        <c:lblOffset val="100"/>
        <c:noMultiLvlLbl val="0"/>
      </c:catAx>
      <c:valAx>
        <c:axId val="130185249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lumMod val="65000"/>
                        <a:lumOff val="35000"/>
                      </a:schemeClr>
                    </a:solidFill>
                    <a:latin typeface="Arial Nova Light" panose="020B0304020202020204" pitchFamily="34" charset="0"/>
                    <a:ea typeface="+mn-ea"/>
                    <a:cs typeface="+mn-cs"/>
                  </a:defRPr>
                </a:pPr>
                <a:r>
                  <a:rPr lang="en-CA" sz="800"/>
                  <a:t>LCOE (CA$2022/kWh)</a:t>
                </a:r>
              </a:p>
            </c:rich>
          </c:tx>
          <c:overlay val="0"/>
          <c:spPr>
            <a:noFill/>
            <a:ln>
              <a:noFill/>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Arial Nova Light" panose="020B0304020202020204" pitchFamily="34" charset="0"/>
                  <a:ea typeface="+mn-ea"/>
                  <a:cs typeface="+mn-cs"/>
                </a:defRPr>
              </a:pPr>
              <a:endParaRPr lang="en-US"/>
            </a:p>
          </c:txPr>
        </c:title>
        <c:numFmt formatCode="_-&quot;$&quot;* #,##0.00_-;\-&quot;$&quot;* #,##0.00_-;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ova Light" panose="020B0304020202020204" pitchFamily="34" charset="0"/>
                <a:ea typeface="+mn-ea"/>
                <a:cs typeface="+mn-cs"/>
              </a:defRPr>
            </a:pPr>
            <a:endParaRPr lang="en-US"/>
          </a:p>
        </c:txPr>
        <c:crossAx val="1301862479"/>
        <c:crosses val="autoZero"/>
        <c:crossBetween val="between"/>
      </c:valAx>
      <c:spPr>
        <a:noFill/>
        <a:ln>
          <a:noFill/>
        </a:ln>
        <a:effectLst/>
      </c:spPr>
    </c:plotArea>
    <c:legend>
      <c:legendPos val="b"/>
      <c:layout>
        <c:manualLayout>
          <c:xMode val="edge"/>
          <c:yMode val="edge"/>
          <c:x val="2.2835628152562338E-2"/>
          <c:y val="0.84922312061572169"/>
          <c:w val="0.96312037769198577"/>
          <c:h val="0.15077687938427825"/>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Arial Nova Light" panose="020B0304020202020204" pitchFamily="34"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50000"/>
          <a:lumOff val="50000"/>
        </a:schemeClr>
      </a:solidFill>
      <a:round/>
    </a:ln>
    <a:effectLst/>
  </c:spPr>
  <c:txPr>
    <a:bodyPr/>
    <a:lstStyle/>
    <a:p>
      <a:pPr>
        <a:defRPr sz="1000">
          <a:latin typeface="Arial Nova Light" panose="020B03040202020202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rgbClr val="002060"/>
                </a:solidFill>
                <a:latin typeface="Arial Nova Light" panose="020B0304020202020204" pitchFamily="34" charset="0"/>
                <a:ea typeface="+mn-ea"/>
                <a:cs typeface="+mn-cs"/>
              </a:defRPr>
            </a:pPr>
            <a:r>
              <a:rPr lang="en-CA" sz="1050" b="0">
                <a:solidFill>
                  <a:srgbClr val="002060"/>
                </a:solidFill>
              </a:rPr>
              <a:t>RE- OPEX (CA$2022/kW-yr)</a:t>
            </a:r>
          </a:p>
        </c:rich>
      </c:tx>
      <c:overlay val="0"/>
      <c:spPr>
        <a:noFill/>
        <a:ln>
          <a:noFill/>
        </a:ln>
        <a:effectLst/>
      </c:spPr>
      <c:txPr>
        <a:bodyPr rot="0" spcFirstLastPara="1" vertOverflow="ellipsis" vert="horz" wrap="square" anchor="ctr" anchorCtr="1"/>
        <a:lstStyle/>
        <a:p>
          <a:pPr>
            <a:defRPr sz="1050" b="0" i="0" u="none" strike="noStrike" kern="1200" spc="0" baseline="0">
              <a:solidFill>
                <a:srgbClr val="002060"/>
              </a:solidFill>
              <a:latin typeface="Arial Nova Light" panose="020B0304020202020204" pitchFamily="34" charset="0"/>
              <a:ea typeface="+mn-ea"/>
              <a:cs typeface="+mn-cs"/>
            </a:defRPr>
          </a:pPr>
          <a:endParaRPr lang="en-US"/>
        </a:p>
      </c:txPr>
    </c:title>
    <c:autoTitleDeleted val="0"/>
    <c:plotArea>
      <c:layout>
        <c:manualLayout>
          <c:layoutTarget val="inner"/>
          <c:xMode val="edge"/>
          <c:yMode val="edge"/>
          <c:x val="0.17134116100130181"/>
          <c:y val="0.16045351473922903"/>
          <c:w val="0.63932623701764757"/>
          <c:h val="0.49885489031608748"/>
        </c:manualLayout>
      </c:layout>
      <c:lineChart>
        <c:grouping val="standard"/>
        <c:varyColors val="0"/>
        <c:ser>
          <c:idx val="0"/>
          <c:order val="0"/>
          <c:tx>
            <c:strRef>
              <c:f>Dashboard!$M$35</c:f>
              <c:strCache>
                <c:ptCount val="1"/>
                <c:pt idx="0">
                  <c:v>Wind</c:v>
                </c:pt>
              </c:strCache>
            </c:strRef>
          </c:tx>
          <c:spPr>
            <a:ln w="19050" cap="rnd">
              <a:solidFill>
                <a:schemeClr val="accent1"/>
              </a:solidFill>
              <a:round/>
            </a:ln>
            <a:effectLst/>
          </c:spPr>
          <c:marker>
            <c:symbol val="none"/>
          </c:marker>
          <c:dLbls>
            <c:dLbl>
              <c:idx val="13"/>
              <c:layout>
                <c:manualLayout>
                  <c:x val="0.12414386388398724"/>
                  <c:y val="-4.1221054934720891E-2"/>
                </c:manualLayout>
              </c:layout>
              <c:spPr>
                <a:noFill/>
                <a:ln>
                  <a:noFill/>
                </a:ln>
                <a:effectLst/>
              </c:spPr>
              <c:txPr>
                <a:bodyPr rot="0" spcFirstLastPara="1" vertOverflow="ellipsis" vert="horz" wrap="square" lIns="38100" tIns="19050" rIns="38100" bIns="19050" anchor="ctr" anchorCtr="0">
                  <a:spAutoFit/>
                </a:bodyPr>
                <a:lstStyle/>
                <a:p>
                  <a:pPr algn="r">
                    <a:defRPr sz="600" b="1" i="0" u="none" strike="noStrike" kern="1200" baseline="0">
                      <a:solidFill>
                        <a:schemeClr val="accent1"/>
                      </a:solidFill>
                      <a:latin typeface="Arial Nova Light" panose="020B0304020202020204" pitchFamily="34" charset="0"/>
                      <a:ea typeface="+mn-ea"/>
                      <a:cs typeface="+mn-cs"/>
                    </a:defRPr>
                  </a:pPr>
                  <a:endParaRPr lang="en-US"/>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BF8E-4179-A8F5-105102593198}"/>
                </c:ext>
              </c:extLst>
            </c:dLbl>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Arial Nova Light" panose="020B03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Dashboard!$N$25:$AA$25</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Dashboard!$N$35:$AA$35</c:f>
              <c:numCache>
                <c:formatCode>_-"$"* #,##0_-;\-"$"* #,##0_-;_-"$"* "-"??_-;_-@_-</c:formatCode>
                <c:ptCount val="14"/>
                <c:pt idx="0">
                  <c:v>71.626568385061177</c:v>
                </c:pt>
                <c:pt idx="1">
                  <c:v>67.796026534781902</c:v>
                </c:pt>
                <c:pt idx="2">
                  <c:v>64.023402163902233</c:v>
                </c:pt>
                <c:pt idx="3">
                  <c:v>60.308695272422192</c:v>
                </c:pt>
                <c:pt idx="4">
                  <c:v>56.651905860341792</c:v>
                </c:pt>
                <c:pt idx="5">
                  <c:v>54.085340742511235</c:v>
                </c:pt>
                <c:pt idx="6">
                  <c:v>51.55738727761377</c:v>
                </c:pt>
                <c:pt idx="7">
                  <c:v>49.068045465649377</c:v>
                </c:pt>
                <c:pt idx="8">
                  <c:v>46.617315306618075</c:v>
                </c:pt>
                <c:pt idx="9">
                  <c:v>44.318189512644878</c:v>
                </c:pt>
                <c:pt idx="10">
                  <c:v>43.036337014949346</c:v>
                </c:pt>
                <c:pt idx="11">
                  <c:v>40.785949494921539</c:v>
                </c:pt>
                <c:pt idx="12">
                  <c:v>39.538910050044144</c:v>
                </c:pt>
                <c:pt idx="13">
                  <c:v>37.33726080396174</c:v>
                </c:pt>
              </c:numCache>
            </c:numRef>
          </c:val>
          <c:smooth val="0"/>
          <c:extLst>
            <c:ext xmlns:c16="http://schemas.microsoft.com/office/drawing/2014/chart" uri="{C3380CC4-5D6E-409C-BE32-E72D297353CC}">
              <c16:uniqueId val="{00000001-BF8E-4179-A8F5-105102593198}"/>
            </c:ext>
          </c:extLst>
        </c:ser>
        <c:ser>
          <c:idx val="1"/>
          <c:order val="1"/>
          <c:tx>
            <c:strRef>
              <c:f>Dashboard!$M$36</c:f>
              <c:strCache>
                <c:ptCount val="1"/>
                <c:pt idx="0">
                  <c:v>Solar</c:v>
                </c:pt>
              </c:strCache>
            </c:strRef>
          </c:tx>
          <c:spPr>
            <a:ln w="19050" cap="rnd">
              <a:solidFill>
                <a:schemeClr val="accent2"/>
              </a:solidFill>
              <a:round/>
            </a:ln>
            <a:effectLst/>
          </c:spPr>
          <c:marker>
            <c:symbol val="none"/>
          </c:marker>
          <c:dLbls>
            <c:dLbl>
              <c:idx val="13"/>
              <c:layout>
                <c:manualLayout>
                  <c:x val="0.12307385274498656"/>
                  <c:y val="4.1267060576389104E-2"/>
                </c:manualLayout>
              </c:layout>
              <c:spPr>
                <a:noFill/>
                <a:ln>
                  <a:noFill/>
                </a:ln>
                <a:effectLst/>
              </c:spPr>
              <c:txPr>
                <a:bodyPr rot="0" spcFirstLastPara="1" vertOverflow="ellipsis" vert="horz" wrap="square" lIns="38100" tIns="19050" rIns="38100" bIns="19050" anchor="ctr" anchorCtr="0">
                  <a:spAutoFit/>
                </a:bodyPr>
                <a:lstStyle/>
                <a:p>
                  <a:pPr algn="r">
                    <a:defRPr sz="600" b="1" i="0" u="none" strike="noStrike" kern="1200" baseline="0">
                      <a:solidFill>
                        <a:schemeClr val="accent2"/>
                      </a:solidFill>
                      <a:latin typeface="Arial Nova Light" panose="020B0304020202020204" pitchFamily="34" charset="0"/>
                      <a:ea typeface="+mn-ea"/>
                      <a:cs typeface="+mn-cs"/>
                    </a:defRPr>
                  </a:pPr>
                  <a:endParaRPr lang="en-US"/>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BF8E-4179-A8F5-105102593198}"/>
                </c:ext>
              </c:extLst>
            </c:dLbl>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Arial Nova Light" panose="020B03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Dashboard!$N$25:$AA$25</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Dashboard!$N$36:$AA$36</c:f>
              <c:numCache>
                <c:formatCode>_-"$"* #,##0_-;\-"$"* #,##0_-;_-"$"* "-"??_-;_-@_-</c:formatCode>
                <c:ptCount val="14"/>
                <c:pt idx="0">
                  <c:v>55.792785714285728</c:v>
                </c:pt>
                <c:pt idx="1">
                  <c:v>55.660002907643694</c:v>
                </c:pt>
                <c:pt idx="2">
                  <c:v>55.525221372768613</c:v>
                </c:pt>
                <c:pt idx="3">
                  <c:v>55.388407748083402</c:v>
                </c:pt>
                <c:pt idx="4">
                  <c:v>55.249530478155677</c:v>
                </c:pt>
                <c:pt idx="5">
                  <c:v>55.10855969310267</c:v>
                </c:pt>
                <c:pt idx="6">
                  <c:v>54.965467097531025</c:v>
                </c:pt>
                <c:pt idx="7">
                  <c:v>54.820225868144</c:v>
                </c:pt>
                <c:pt idx="8">
                  <c:v>54.672810559236268</c:v>
                </c:pt>
                <c:pt idx="9">
                  <c:v>54.834202632472582</c:v>
                </c:pt>
                <c:pt idx="10">
                  <c:v>54.995228468909161</c:v>
                </c:pt>
                <c:pt idx="11">
                  <c:v>55.155887373603335</c:v>
                </c:pt>
                <c:pt idx="12">
                  <c:v>55.316178666719885</c:v>
                </c:pt>
                <c:pt idx="13">
                  <c:v>55.476101683122749</c:v>
                </c:pt>
              </c:numCache>
            </c:numRef>
          </c:val>
          <c:smooth val="0"/>
          <c:extLst>
            <c:ext xmlns:c16="http://schemas.microsoft.com/office/drawing/2014/chart" uri="{C3380CC4-5D6E-409C-BE32-E72D297353CC}">
              <c16:uniqueId val="{00000003-BF8E-4179-A8F5-105102593198}"/>
            </c:ext>
          </c:extLst>
        </c:ser>
        <c:ser>
          <c:idx val="2"/>
          <c:order val="2"/>
          <c:tx>
            <c:strRef>
              <c:f>Dashboard!$M$37</c:f>
              <c:strCache>
                <c:ptCount val="1"/>
                <c:pt idx="0">
                  <c:v>Energy Storage (8hr)</c:v>
                </c:pt>
              </c:strCache>
            </c:strRef>
          </c:tx>
          <c:spPr>
            <a:ln w="19050" cap="rnd">
              <a:solidFill>
                <a:schemeClr val="accent6">
                  <a:lumMod val="75000"/>
                </a:schemeClr>
              </a:solidFill>
              <a:prstDash val="lgDash"/>
              <a:round/>
            </a:ln>
            <a:effectLst/>
          </c:spPr>
          <c:marker>
            <c:symbol val="none"/>
          </c:marker>
          <c:dLbls>
            <c:dLbl>
              <c:idx val="13"/>
              <c:layout>
                <c:manualLayout>
                  <c:x val="-2.5959893003704997E-7"/>
                  <c:y val="-6.0865686418503954E-3"/>
                </c:manualLayout>
              </c:layout>
              <c:spPr>
                <a:noFill/>
                <a:ln>
                  <a:noFill/>
                </a:ln>
                <a:effectLst/>
              </c:spPr>
              <c:txPr>
                <a:bodyPr rot="0" spcFirstLastPara="1" vertOverflow="ellipsis" vert="horz" wrap="square" lIns="38100" tIns="19050" rIns="38100" bIns="19050" anchor="ctr" anchorCtr="0">
                  <a:noAutofit/>
                </a:bodyPr>
                <a:lstStyle/>
                <a:p>
                  <a:pPr algn="r">
                    <a:defRPr sz="600" b="1" i="0" u="none" strike="noStrike" kern="1200" baseline="0">
                      <a:solidFill>
                        <a:schemeClr val="accent6">
                          <a:lumMod val="50000"/>
                        </a:schemeClr>
                      </a:solidFill>
                      <a:latin typeface="Arial Nova Light" panose="020B0304020202020204" pitchFamily="34" charset="0"/>
                      <a:ea typeface="+mn-ea"/>
                      <a:cs typeface="+mn-cs"/>
                    </a:defRPr>
                  </a:pPr>
                  <a:endParaRPr lang="en-US"/>
                </a:p>
              </c:txPr>
              <c:showLegendKey val="0"/>
              <c:showVal val="0"/>
              <c:showCatName val="0"/>
              <c:showSerName val="1"/>
              <c:showPercent val="0"/>
              <c:showBubbleSize val="0"/>
              <c:extLst>
                <c:ext xmlns:c15="http://schemas.microsoft.com/office/drawing/2012/chart" uri="{CE6537A1-D6FC-4f65-9D91-7224C49458BB}">
                  <c15:layout>
                    <c:manualLayout>
                      <c:w val="0.21060199062737478"/>
                      <c:h val="4.7077632930817813E-2"/>
                    </c:manualLayout>
                  </c15:layout>
                </c:ext>
                <c:ext xmlns:c16="http://schemas.microsoft.com/office/drawing/2014/chart" uri="{C3380CC4-5D6E-409C-BE32-E72D297353CC}">
                  <c16:uniqueId val="{00000004-BF8E-4179-A8F5-105102593198}"/>
                </c:ext>
              </c:extLst>
            </c:dLbl>
            <c:spPr>
              <a:noFill/>
              <a:ln>
                <a:noFill/>
              </a:ln>
              <a:effectLst/>
            </c:spPr>
            <c:txPr>
              <a:bodyPr rot="0" spcFirstLastPara="1" vertOverflow="ellipsis" vert="horz" wrap="square" lIns="38100" tIns="19050" rIns="38100" bIns="19050" anchor="ctr" anchorCtr="0">
                <a:spAutoFit/>
              </a:bodyPr>
              <a:lstStyle/>
              <a:p>
                <a:pPr algn="r">
                  <a:defRPr sz="1000" b="0" i="0" u="none" strike="noStrike" kern="1200" baseline="0">
                    <a:solidFill>
                      <a:schemeClr val="tx1">
                        <a:lumMod val="75000"/>
                        <a:lumOff val="25000"/>
                      </a:schemeClr>
                    </a:solidFill>
                    <a:latin typeface="Arial Nova Light" panose="020B03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Dashboard!$N$25:$AA$25</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Dashboard!$N$37:$AA$37</c:f>
              <c:numCache>
                <c:formatCode>_-"$"* #,##0_-;\-"$"* #,##0_-;_-"$"* "-"??_-;_-@_-</c:formatCode>
                <c:ptCount val="14"/>
                <c:pt idx="0">
                  <c:v>26.27</c:v>
                </c:pt>
                <c:pt idx="1">
                  <c:v>24.75362808236402</c:v>
                </c:pt>
                <c:pt idx="2">
                  <c:v>23.866607373400342</c:v>
                </c:pt>
                <c:pt idx="3">
                  <c:v>23.237256164728045</c:v>
                </c:pt>
                <c:pt idx="4">
                  <c:v>22.749093442142794</c:v>
                </c:pt>
                <c:pt idx="5">
                  <c:v>22.350235455764363</c:v>
                </c:pt>
                <c:pt idx="6">
                  <c:v>22.013005833354715</c:v>
                </c:pt>
                <c:pt idx="7">
                  <c:v>21.720884247092066</c:v>
                </c:pt>
                <c:pt idx="8">
                  <c:v>21.463214746800691</c:v>
                </c:pt>
                <c:pt idx="9">
                  <c:v>21.232721524506818</c:v>
                </c:pt>
                <c:pt idx="10">
                  <c:v>21.024215042516424</c:v>
                </c:pt>
                <c:pt idx="11">
                  <c:v>20.833863538128391</c:v>
                </c:pt>
                <c:pt idx="12">
                  <c:v>20.658757128506053</c:v>
                </c:pt>
                <c:pt idx="13">
                  <c:v>20.496633915718736</c:v>
                </c:pt>
              </c:numCache>
            </c:numRef>
          </c:val>
          <c:smooth val="0"/>
          <c:extLst>
            <c:ext xmlns:c16="http://schemas.microsoft.com/office/drawing/2014/chart" uri="{C3380CC4-5D6E-409C-BE32-E72D297353CC}">
              <c16:uniqueId val="{00000005-BF8E-4179-A8F5-105102593198}"/>
            </c:ext>
          </c:extLst>
        </c:ser>
        <c:ser>
          <c:idx val="3"/>
          <c:order val="3"/>
          <c:tx>
            <c:strRef>
              <c:f>Dashboard!$M$38</c:f>
              <c:strCache>
                <c:ptCount val="1"/>
                <c:pt idx="0">
                  <c:v>Solar + ES (8hr)</c:v>
                </c:pt>
              </c:strCache>
            </c:strRef>
          </c:tx>
          <c:spPr>
            <a:ln w="19050" cap="rnd">
              <a:solidFill>
                <a:schemeClr val="accent2"/>
              </a:solidFill>
              <a:prstDash val="sysDash"/>
              <a:round/>
            </a:ln>
            <a:effectLst/>
          </c:spPr>
          <c:marker>
            <c:symbol val="none"/>
          </c:marker>
          <c:dLbls>
            <c:dLbl>
              <c:idx val="13"/>
              <c:layout>
                <c:manualLayout>
                  <c:x val="-6.6559867666849421E-3"/>
                  <c:y val="-4.8348755106592471E-2"/>
                </c:manualLayout>
              </c:layout>
              <c:spPr>
                <a:noFill/>
                <a:ln>
                  <a:noFill/>
                </a:ln>
                <a:effectLst/>
              </c:spPr>
              <c:txPr>
                <a:bodyPr rot="0" spcFirstLastPara="1" vertOverflow="ellipsis" vert="horz" wrap="square" lIns="38100" tIns="19050" rIns="38100" bIns="19050" anchor="ctr" anchorCtr="0">
                  <a:noAutofit/>
                </a:bodyPr>
                <a:lstStyle/>
                <a:p>
                  <a:pPr algn="r">
                    <a:defRPr sz="600" b="1" i="0" u="none" strike="noStrike" kern="1200" baseline="0">
                      <a:solidFill>
                        <a:schemeClr val="accent2"/>
                      </a:solidFill>
                      <a:latin typeface="Arial Nova Light" panose="020B0304020202020204" pitchFamily="34" charset="0"/>
                      <a:ea typeface="+mn-ea"/>
                      <a:cs typeface="+mn-cs"/>
                    </a:defRPr>
                  </a:pPr>
                  <a:endParaRPr lang="en-US"/>
                </a:p>
              </c:txPr>
              <c:showLegendKey val="0"/>
              <c:showVal val="0"/>
              <c:showCatName val="0"/>
              <c:showSerName val="1"/>
              <c:showPercent val="0"/>
              <c:showBubbleSize val="0"/>
              <c:extLst>
                <c:ext xmlns:c15="http://schemas.microsoft.com/office/drawing/2012/chart" uri="{CE6537A1-D6FC-4f65-9D91-7224C49458BB}">
                  <c15:layout>
                    <c:manualLayout>
                      <c:w val="0.19419831334965801"/>
                      <c:h val="5.084026011082609E-2"/>
                    </c:manualLayout>
                  </c15:layout>
                </c:ext>
                <c:ext xmlns:c16="http://schemas.microsoft.com/office/drawing/2014/chart" uri="{C3380CC4-5D6E-409C-BE32-E72D297353CC}">
                  <c16:uniqueId val="{00000006-BF8E-4179-A8F5-105102593198}"/>
                </c:ext>
              </c:extLst>
            </c:dLbl>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Arial Nova Light" panose="020B03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noFill/>
                      <a:round/>
                    </a:ln>
                    <a:effectLst/>
                  </c:spPr>
                </c15:leaderLines>
              </c:ext>
            </c:extLst>
          </c:dLbls>
          <c:cat>
            <c:numRef>
              <c:f>Dashboard!$N$25:$AA$25</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Dashboard!$N$38:$AA$38</c:f>
              <c:numCache>
                <c:formatCode>_-"$"* #,##0_-;\-"$"* #,##0_-;_-"$"* "-"??_-;_-@_-</c:formatCode>
                <c:ptCount val="14"/>
                <c:pt idx="0">
                  <c:v>66.62233928571429</c:v>
                </c:pt>
                <c:pt idx="1">
                  <c:v>65.535061899919228</c:v>
                </c:pt>
                <c:pt idx="2">
                  <c:v>64.823396511094529</c:v>
                </c:pt>
                <c:pt idx="3">
                  <c:v>64.26430073263451</c:v>
                </c:pt>
                <c:pt idx="4">
                  <c:v>63.787854400584209</c:v>
                </c:pt>
                <c:pt idx="5">
                  <c:v>63.362897395132713</c:v>
                </c:pt>
                <c:pt idx="6">
                  <c:v>62.972795597543858</c:v>
                </c:pt>
                <c:pt idx="7">
                  <c:v>62.6076099878278</c:v>
                </c:pt>
                <c:pt idx="8">
                  <c:v>62.260921550173826</c:v>
                </c:pt>
                <c:pt idx="9">
                  <c:v>62.23934626146238</c:v>
                </c:pt>
                <c:pt idx="10">
                  <c:v>62.23059678013329</c:v>
                </c:pt>
                <c:pt idx="11">
                  <c:v>62.232373353623224</c:v>
                </c:pt>
                <c:pt idx="12">
                  <c:v>62.242929372394947</c:v>
                </c:pt>
                <c:pt idx="13">
                  <c:v>62.26090703255398</c:v>
                </c:pt>
              </c:numCache>
            </c:numRef>
          </c:val>
          <c:smooth val="0"/>
          <c:extLst>
            <c:ext xmlns:c16="http://schemas.microsoft.com/office/drawing/2014/chart" uri="{C3380CC4-5D6E-409C-BE32-E72D297353CC}">
              <c16:uniqueId val="{00000007-BF8E-4179-A8F5-105102593198}"/>
            </c:ext>
          </c:extLst>
        </c:ser>
        <c:ser>
          <c:idx val="4"/>
          <c:order val="4"/>
          <c:tx>
            <c:strRef>
              <c:f>Dashboard!$M$39</c:f>
              <c:strCache>
                <c:ptCount val="1"/>
                <c:pt idx="0">
                  <c:v>Wind + ES (8hr)</c:v>
                </c:pt>
              </c:strCache>
            </c:strRef>
          </c:tx>
          <c:spPr>
            <a:ln w="19050" cap="rnd">
              <a:solidFill>
                <a:schemeClr val="accent1"/>
              </a:solidFill>
              <a:prstDash val="sysDash"/>
              <a:round/>
            </a:ln>
            <a:effectLst/>
          </c:spPr>
          <c:marker>
            <c:symbol val="none"/>
          </c:marker>
          <c:dLbls>
            <c:dLbl>
              <c:idx val="13"/>
              <c:layout>
                <c:manualLayout>
                  <c:x val="3.4857560017965042E-2"/>
                  <c:y val="-7.4246222918706584E-2"/>
                </c:manualLayout>
              </c:layout>
              <c:tx>
                <c:rich>
                  <a:bodyPr rot="0" spcFirstLastPara="1" vertOverflow="ellipsis" vert="horz" wrap="square" lIns="38100" tIns="19050" rIns="38100" bIns="19050" anchor="ctr" anchorCtr="0">
                    <a:spAutoFit/>
                  </a:bodyPr>
                  <a:lstStyle/>
                  <a:p>
                    <a:pPr algn="r">
                      <a:defRPr sz="600" b="1" i="0" u="none" strike="noStrike" kern="1200" baseline="0">
                        <a:solidFill>
                          <a:schemeClr val="accent1"/>
                        </a:solidFill>
                        <a:latin typeface="Arial Nova Light" panose="020B0304020202020204" pitchFamily="34" charset="0"/>
                        <a:ea typeface="+mn-ea"/>
                        <a:cs typeface="+mn-cs"/>
                      </a:defRPr>
                    </a:pPr>
                    <a:fld id="{5DB5E29E-5075-4E4C-BCB1-861874BBE4F6}" type="SERIESNAME">
                      <a:rPr lang="en-US" sz="600" b="1">
                        <a:solidFill>
                          <a:schemeClr val="accent1"/>
                        </a:solidFill>
                      </a:rPr>
                      <a:pPr algn="r">
                        <a:defRPr sz="600" b="1">
                          <a:solidFill>
                            <a:schemeClr val="accent1"/>
                          </a:solidFill>
                        </a:defRPr>
                      </a:pPr>
                      <a:t>[SERIES NAME]</a:t>
                    </a:fld>
                    <a:endParaRPr lang="en-US"/>
                  </a:p>
                </c:rich>
              </c:tx>
              <c:spPr>
                <a:noFill/>
                <a:ln>
                  <a:noFill/>
                </a:ln>
                <a:effectLst/>
              </c:spPr>
              <c:txPr>
                <a:bodyPr rot="0" spcFirstLastPara="1" vertOverflow="ellipsis" vert="horz" wrap="square" lIns="38100" tIns="19050" rIns="38100" bIns="19050" anchor="ctr" anchorCtr="0">
                  <a:spAutoFit/>
                </a:bodyPr>
                <a:lstStyle/>
                <a:p>
                  <a:pPr algn="r">
                    <a:defRPr sz="600" b="1" i="0" u="none" strike="noStrike" kern="1200" baseline="0">
                      <a:solidFill>
                        <a:schemeClr val="accent1"/>
                      </a:solidFill>
                      <a:latin typeface="Arial Nova Light" panose="020B0304020202020204" pitchFamily="34" charset="0"/>
                      <a:ea typeface="+mn-ea"/>
                      <a:cs typeface="+mn-cs"/>
                    </a:defRPr>
                  </a:pPr>
                  <a:endParaRPr lang="en-US"/>
                </a:p>
              </c:txPr>
              <c:showLegendKey val="0"/>
              <c:showVal val="0"/>
              <c:showCatName val="0"/>
              <c:showSerName val="1"/>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8-BF8E-4179-A8F5-105102593198}"/>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Nova Light" panose="020B03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noFill/>
                      <a:round/>
                    </a:ln>
                    <a:effectLst/>
                  </c:spPr>
                </c15:leaderLines>
              </c:ext>
            </c:extLst>
          </c:dLbls>
          <c:cat>
            <c:numRef>
              <c:f>Dashboard!$N$25:$AA$25</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Dashboard!$N$39:$AA$39</c:f>
              <c:numCache>
                <c:formatCode>_-"$"* #,##0_-;\-"$"* #,##0_-;_-"$"* "-"??_-;_-@_-</c:formatCode>
                <c:ptCount val="14"/>
                <c:pt idx="0">
                  <c:v>83.730568385061176</c:v>
                </c:pt>
                <c:pt idx="1">
                  <c:v>79.046453384200319</c:v>
                </c:pt>
                <c:pt idx="2">
                  <c:v>74.797866587942451</c:v>
                </c:pt>
                <c:pt idx="3">
                  <c:v>70.761798971259026</c:v>
                </c:pt>
                <c:pt idx="4">
                  <c:v>66.868361925627482</c:v>
                </c:pt>
                <c:pt idx="5">
                  <c:v>64.099982015969857</c:v>
                </c:pt>
                <c:pt idx="6">
                  <c:v>61.407190777626596</c:v>
                </c:pt>
                <c:pt idx="7">
                  <c:v>58.780076013904619</c:v>
                </c:pt>
                <c:pt idx="8">
                  <c:v>56.212244154698482</c:v>
                </c:pt>
                <c:pt idx="9">
                  <c:v>53.812322427348981</c:v>
                </c:pt>
                <c:pt idx="10">
                  <c:v>52.424116040459204</c:v>
                </c:pt>
                <c:pt idx="11">
                  <c:v>50.097017617798564</c:v>
                </c:pt>
                <c:pt idx="12">
                  <c:v>48.763664327147779</c:v>
                </c:pt>
                <c:pt idx="13">
                  <c:v>46.50224115339298</c:v>
                </c:pt>
              </c:numCache>
            </c:numRef>
          </c:val>
          <c:smooth val="0"/>
          <c:extLst>
            <c:ext xmlns:c16="http://schemas.microsoft.com/office/drawing/2014/chart" uri="{C3380CC4-5D6E-409C-BE32-E72D297353CC}">
              <c16:uniqueId val="{00000009-BF8E-4179-A8F5-105102593198}"/>
            </c:ext>
          </c:extLst>
        </c:ser>
        <c:dLbls>
          <c:showLegendKey val="0"/>
          <c:showVal val="0"/>
          <c:showCatName val="0"/>
          <c:showSerName val="0"/>
          <c:showPercent val="0"/>
          <c:showBubbleSize val="0"/>
        </c:dLbls>
        <c:smooth val="0"/>
        <c:axId val="1301862479"/>
        <c:axId val="1301852495"/>
      </c:lineChart>
      <c:catAx>
        <c:axId val="1301862479"/>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Arial Nova Light" panose="020B0304020202020204" pitchFamily="34" charset="0"/>
                    <a:ea typeface="+mn-ea"/>
                    <a:cs typeface="+mn-cs"/>
                  </a:defRPr>
                </a:pPr>
                <a:r>
                  <a:rPr lang="en-CA" sz="900"/>
                  <a:t>Installation</a:t>
                </a:r>
                <a:r>
                  <a:rPr lang="en-CA" sz="900" baseline="0"/>
                  <a:t> Year</a:t>
                </a:r>
                <a:endParaRPr lang="en-CA" sz="900"/>
              </a:p>
            </c:rich>
          </c:tx>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Nova Light" panose="020B0304020202020204" pitchFamily="34" charset="0"/>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ova Light" panose="020B0304020202020204" pitchFamily="34" charset="0"/>
                <a:ea typeface="+mn-ea"/>
                <a:cs typeface="+mn-cs"/>
              </a:defRPr>
            </a:pPr>
            <a:endParaRPr lang="en-US"/>
          </a:p>
        </c:txPr>
        <c:crossAx val="1301852495"/>
        <c:crosses val="autoZero"/>
        <c:auto val="1"/>
        <c:lblAlgn val="ctr"/>
        <c:lblOffset val="100"/>
        <c:noMultiLvlLbl val="0"/>
      </c:catAx>
      <c:valAx>
        <c:axId val="130185249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lumMod val="65000"/>
                        <a:lumOff val="35000"/>
                      </a:schemeClr>
                    </a:solidFill>
                    <a:latin typeface="Arial Nova Light" panose="020B0304020202020204" pitchFamily="34" charset="0"/>
                    <a:ea typeface="+mn-ea"/>
                    <a:cs typeface="+mn-cs"/>
                  </a:defRPr>
                </a:pPr>
                <a:r>
                  <a:rPr lang="en-CA" sz="800"/>
                  <a:t>OPEX (CA$2022/kW-yr)</a:t>
                </a:r>
              </a:p>
            </c:rich>
          </c:tx>
          <c:overlay val="0"/>
          <c:spPr>
            <a:noFill/>
            <a:ln>
              <a:noFill/>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Arial Nova Light" panose="020B0304020202020204" pitchFamily="34" charset="0"/>
                  <a:ea typeface="+mn-ea"/>
                  <a:cs typeface="+mn-cs"/>
                </a:defRPr>
              </a:pPr>
              <a:endParaRPr lang="en-US"/>
            </a:p>
          </c:txPr>
        </c:title>
        <c:numFmt formatCode="_-&quot;$&quot;* #,##0_-;\-&quot;$&quot;* #,##0_-;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ova Light" panose="020B0304020202020204" pitchFamily="34" charset="0"/>
                <a:ea typeface="+mn-ea"/>
                <a:cs typeface="+mn-cs"/>
              </a:defRPr>
            </a:pPr>
            <a:endParaRPr lang="en-US"/>
          </a:p>
        </c:txPr>
        <c:crossAx val="1301862479"/>
        <c:crosses val="autoZero"/>
        <c:crossBetween val="between"/>
      </c:valAx>
      <c:spPr>
        <a:noFill/>
        <a:ln>
          <a:noFill/>
        </a:ln>
        <a:effectLst/>
      </c:spPr>
    </c:plotArea>
    <c:legend>
      <c:legendPos val="b"/>
      <c:layout>
        <c:manualLayout>
          <c:xMode val="edge"/>
          <c:yMode val="edge"/>
          <c:x val="2.2835628152562338E-2"/>
          <c:y val="0.84922312061572169"/>
          <c:w val="0.97445363470037893"/>
          <c:h val="0.1507768793842782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Arial Nova Light" panose="020B0304020202020204" pitchFamily="34"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50000"/>
          <a:lumOff val="50000"/>
        </a:schemeClr>
      </a:solidFill>
      <a:round/>
    </a:ln>
    <a:effectLst/>
  </c:spPr>
  <c:txPr>
    <a:bodyPr/>
    <a:lstStyle/>
    <a:p>
      <a:pPr>
        <a:defRPr sz="1000">
          <a:latin typeface="Arial Nova Light" panose="020B0304020202020204" pitchFamily="34"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mn-lt"/>
                <a:ea typeface="+mn-ea"/>
                <a:cs typeface="+mn-cs"/>
              </a:defRPr>
            </a:pPr>
            <a:r>
              <a:rPr lang="en-CA"/>
              <a:t>Battery $/kWh Cost Declines</a:t>
            </a:r>
          </a:p>
        </c:rich>
      </c:tx>
      <c:layout>
        <c:manualLayout>
          <c:xMode val="edge"/>
          <c:yMode val="edge"/>
          <c:x val="0.26785571673535846"/>
          <c:y val="3.3614924497107825E-2"/>
        </c:manualLayout>
      </c:layout>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2108269732283938"/>
          <c:y val="0.16345290122274289"/>
          <c:w val="0.83356776485709783"/>
          <c:h val="0.73395110682763454"/>
        </c:manualLayout>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og"/>
            <c:dispRSqr val="1"/>
            <c:dispEq val="1"/>
            <c:trendlineLbl>
              <c:layout>
                <c:manualLayout>
                  <c:x val="-4.8890419947506564E-2"/>
                  <c:y val="-0.27808398950131236"/>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rendlineLbl>
          </c:trendline>
          <c:yVal>
            <c:numRef>
              <c:f>Inputs.ES!$M$51:$AA$51</c:f>
              <c:numCache>
                <c:formatCode>"$"#,##0</c:formatCode>
                <c:ptCount val="15"/>
                <c:pt idx="0">
                  <c:v>215.17280392136252</c:v>
                </c:pt>
                <c:pt idx="1">
                  <c:v>196.22677087168282</c:v>
                </c:pt>
                <c:pt idx="2">
                  <c:v>177.28073782200306</c:v>
                </c:pt>
                <c:pt idx="3">
                  <c:v>159.68799284730048</c:v>
                </c:pt>
                <c:pt idx="4">
                  <c:v>150.21497632246061</c:v>
                </c:pt>
                <c:pt idx="5">
                  <c:v>140.74195979762075</c:v>
                </c:pt>
                <c:pt idx="6">
                  <c:v>142.21930323346086</c:v>
                </c:pt>
                <c:pt idx="7">
                  <c:v>124.50250289789528</c:v>
                </c:pt>
                <c:pt idx="8">
                  <c:v>116.38277444803254</c:v>
                </c:pt>
                <c:pt idx="9">
                  <c:v>129.15723357836416</c:v>
                </c:pt>
                <c:pt idx="10">
                  <c:v>108.27996209910739</c:v>
                </c:pt>
                <c:pt idx="11">
                  <c:v>106.90975792319267</c:v>
                </c:pt>
                <c:pt idx="12">
                  <c:v>105.5395537472786</c:v>
                </c:pt>
                <c:pt idx="13">
                  <c:v>104.16934957136451</c:v>
                </c:pt>
                <c:pt idx="14">
                  <c:v>102.79914539544978</c:v>
                </c:pt>
              </c:numCache>
            </c:numRef>
          </c:yVal>
          <c:smooth val="0"/>
          <c:extLst>
            <c:ext xmlns:c16="http://schemas.microsoft.com/office/drawing/2014/chart" uri="{C3380CC4-5D6E-409C-BE32-E72D297353CC}">
              <c16:uniqueId val="{00000000-30A7-4AC7-B869-A5977E5E337C}"/>
            </c:ext>
          </c:extLst>
        </c:ser>
        <c:dLbls>
          <c:showLegendKey val="0"/>
          <c:showVal val="0"/>
          <c:showCatName val="0"/>
          <c:showSerName val="0"/>
          <c:showPercent val="0"/>
          <c:showBubbleSize val="0"/>
        </c:dLbls>
        <c:axId val="792376719"/>
        <c:axId val="792379631"/>
      </c:scatterChart>
      <c:valAx>
        <c:axId val="792376719"/>
        <c:scaling>
          <c:orientation val="minMax"/>
          <c:max val="15"/>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92379631"/>
        <c:crosses val="autoZero"/>
        <c:crossBetween val="midCat"/>
      </c:valAx>
      <c:valAx>
        <c:axId val="792379631"/>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92376719"/>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200"/>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mn-lt"/>
                <a:ea typeface="+mn-ea"/>
                <a:cs typeface="+mn-cs"/>
              </a:defRPr>
            </a:pPr>
            <a:r>
              <a:rPr lang="en-CA"/>
              <a:t>Battery Inverter Costs</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og"/>
            <c:dispRSqr val="1"/>
            <c:dispEq val="1"/>
            <c:trendlineLbl>
              <c:layout>
                <c:manualLayout>
                  <c:x val="-1.4783168798391019E-2"/>
                  <c:y val="-9.6853125836716625E-2"/>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rendlineLbl>
          </c:trendline>
          <c:yVal>
            <c:numRef>
              <c:f>Inputs.ES!$M$86:$AA$86</c:f>
              <c:numCache>
                <c:formatCode>"$"#,##0</c:formatCode>
                <c:ptCount val="15"/>
                <c:pt idx="0">
                  <c:v>90.249250000000004</c:v>
                </c:pt>
                <c:pt idx="1">
                  <c:v>87.753644328442462</c:v>
                </c:pt>
                <c:pt idx="2">
                  <c:v>85.258038656884921</c:v>
                </c:pt>
                <c:pt idx="3">
                  <c:v>82.762432985327379</c:v>
                </c:pt>
                <c:pt idx="4">
                  <c:v>80.266827313769753</c:v>
                </c:pt>
                <c:pt idx="5">
                  <c:v>78.572112392639767</c:v>
                </c:pt>
                <c:pt idx="6">
                  <c:v>76.877397471509695</c:v>
                </c:pt>
                <c:pt idx="7">
                  <c:v>75.18268255037971</c:v>
                </c:pt>
                <c:pt idx="8">
                  <c:v>73.487967629249638</c:v>
                </c:pt>
                <c:pt idx="9">
                  <c:v>76.169668472079735</c:v>
                </c:pt>
                <c:pt idx="10">
                  <c:v>71.793252708119596</c:v>
                </c:pt>
                <c:pt idx="11">
                  <c:v>71.793252708119596</c:v>
                </c:pt>
                <c:pt idx="12">
                  <c:v>71.793252708119596</c:v>
                </c:pt>
                <c:pt idx="13">
                  <c:v>71.793252708119596</c:v>
                </c:pt>
                <c:pt idx="14">
                  <c:v>71.793252708119596</c:v>
                </c:pt>
              </c:numCache>
            </c:numRef>
          </c:yVal>
          <c:smooth val="0"/>
          <c:extLst>
            <c:ext xmlns:c16="http://schemas.microsoft.com/office/drawing/2014/chart" uri="{C3380CC4-5D6E-409C-BE32-E72D297353CC}">
              <c16:uniqueId val="{00000000-18DB-4E8A-AF7C-225FE15FEBC6}"/>
            </c:ext>
          </c:extLst>
        </c:ser>
        <c:dLbls>
          <c:showLegendKey val="0"/>
          <c:showVal val="0"/>
          <c:showCatName val="0"/>
          <c:showSerName val="0"/>
          <c:showPercent val="0"/>
          <c:showBubbleSize val="0"/>
        </c:dLbls>
        <c:axId val="370428208"/>
        <c:axId val="370426128"/>
      </c:scatterChart>
      <c:valAx>
        <c:axId val="370428208"/>
        <c:scaling>
          <c:orientation val="minMax"/>
          <c:max val="15"/>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370426128"/>
        <c:crosses val="autoZero"/>
        <c:crossBetween val="midCat"/>
      </c:valAx>
      <c:valAx>
        <c:axId val="370426128"/>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370428208"/>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200"/>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9214587972421813E-2"/>
          <c:y val="0.1715938006014342"/>
          <c:w val="0.87758119156388248"/>
          <c:h val="0.57303381837853196"/>
        </c:manualLayout>
      </c:layout>
      <c:scatterChart>
        <c:scatterStyle val="lineMarker"/>
        <c:varyColors val="0"/>
        <c:ser>
          <c:idx val="0"/>
          <c:order val="0"/>
          <c:tx>
            <c:strRef>
              <c:f>Inputs.ES!$K$124</c:f>
              <c:strCache>
                <c:ptCount val="1"/>
                <c:pt idx="0">
                  <c:v>Average Electrical BOS Price Forecast</c:v>
                </c:pt>
              </c:strCache>
            </c:strRef>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og"/>
            <c:dispRSqr val="1"/>
            <c:dispEq val="1"/>
            <c:trendlineLbl>
              <c:layout>
                <c:manualLayout>
                  <c:x val="-4.3103212681505189E-3"/>
                  <c:y val="-5.7934395952067411E-2"/>
                </c:manualLayout>
              </c:layout>
              <c:numFmt formatCode="General" sourceLinked="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rendlineLbl>
          </c:trendline>
          <c:yVal>
            <c:numRef>
              <c:f>Inputs.ES!$N$124:$AA$124</c:f>
              <c:numCache>
                <c:formatCode>"$"#,##0</c:formatCode>
                <c:ptCount val="14"/>
                <c:pt idx="0">
                  <c:v>37.787008711846674</c:v>
                </c:pt>
                <c:pt idx="1">
                  <c:v>35.850673744419019</c:v>
                </c:pt>
                <c:pt idx="2">
                  <c:v>34.71799039963873</c:v>
                </c:pt>
                <c:pt idx="3">
                  <c:v>33.914338776991372</c:v>
                </c:pt>
                <c:pt idx="4">
                  <c:v>33.290978149863612</c:v>
                </c:pt>
                <c:pt idx="5">
                  <c:v>32.781655432211075</c:v>
                </c:pt>
                <c:pt idx="6">
                  <c:v>32.351029210286399</c:v>
                </c:pt>
                <c:pt idx="7">
                  <c:v>31.97800380956372</c:v>
                </c:pt>
                <c:pt idx="8">
                  <c:v>29.933061825096601</c:v>
                </c:pt>
                <c:pt idx="9">
                  <c:v>31.354643182435954</c:v>
                </c:pt>
                <c:pt idx="10">
                  <c:v>31.088390301254435</c:v>
                </c:pt>
                <c:pt idx="11">
                  <c:v>30.845320464783423</c:v>
                </c:pt>
                <c:pt idx="12">
                  <c:v>30.621717890751952</c:v>
                </c:pt>
                <c:pt idx="13">
                  <c:v>30.414694242858758</c:v>
                </c:pt>
              </c:numCache>
            </c:numRef>
          </c:yVal>
          <c:smooth val="0"/>
          <c:extLst>
            <c:ext xmlns:c16="http://schemas.microsoft.com/office/drawing/2014/chart" uri="{C3380CC4-5D6E-409C-BE32-E72D297353CC}">
              <c16:uniqueId val="{00000000-68AA-4274-8183-4B4FE8788906}"/>
            </c:ext>
          </c:extLst>
        </c:ser>
        <c:ser>
          <c:idx val="1"/>
          <c:order val="1"/>
          <c:tx>
            <c:strRef>
              <c:f>Inputs.ES!$K$125</c:f>
              <c:strCache>
                <c:ptCount val="1"/>
                <c:pt idx="0">
                  <c:v>Average Strucutral BOS Price Forecast</c:v>
                </c:pt>
              </c:strCache>
            </c:strRef>
          </c:tx>
          <c:spPr>
            <a:ln w="2540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og"/>
            <c:dispRSqr val="1"/>
            <c:dispEq val="1"/>
            <c:trendlineLbl>
              <c:layout>
                <c:manualLayout>
                  <c:x val="-0.10111731660364612"/>
                  <c:y val="-5.5430302301733451E-2"/>
                </c:manualLayout>
              </c:layout>
              <c:numFmt formatCode="General" sourceLinked="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rendlineLbl>
          </c:trendline>
          <c:yVal>
            <c:numRef>
              <c:f>Inputs.ES!$N$125:$AA$125</c:f>
              <c:numCache>
                <c:formatCode>"$"#,##0</c:formatCode>
                <c:ptCount val="14"/>
                <c:pt idx="0">
                  <c:v>6.0000101292578352</c:v>
                </c:pt>
                <c:pt idx="1">
                  <c:v>5.743509614413381</c:v>
                </c:pt>
                <c:pt idx="2">
                  <c:v>5.5934664318137042</c:v>
                </c:pt>
                <c:pt idx="3">
                  <c:v>5.4870090995689269</c:v>
                </c:pt>
                <c:pt idx="4">
                  <c:v>5.4044343774874246</c:v>
                </c:pt>
                <c:pt idx="5">
                  <c:v>5.3369659169692509</c:v>
                </c:pt>
                <c:pt idx="6">
                  <c:v>5.2799221463989472</c:v>
                </c:pt>
                <c:pt idx="7">
                  <c:v>5.2305085847244728</c:v>
                </c:pt>
                <c:pt idx="8">
                  <c:v>4.8336915543165304</c:v>
                </c:pt>
                <c:pt idx="9">
                  <c:v>5.1479338626429696</c:v>
                </c:pt>
                <c:pt idx="10">
                  <c:v>5.1126641380081859</c:v>
                </c:pt>
                <c:pt idx="11">
                  <c:v>5.0804654021247959</c:v>
                </c:pt>
                <c:pt idx="12">
                  <c:v>5.0508454364037778</c:v>
                </c:pt>
                <c:pt idx="13">
                  <c:v>5.0234216315544939</c:v>
                </c:pt>
              </c:numCache>
            </c:numRef>
          </c:yVal>
          <c:smooth val="0"/>
          <c:extLst>
            <c:ext xmlns:c16="http://schemas.microsoft.com/office/drawing/2014/chart" uri="{C3380CC4-5D6E-409C-BE32-E72D297353CC}">
              <c16:uniqueId val="{00000001-68AA-4274-8183-4B4FE8788906}"/>
            </c:ext>
          </c:extLst>
        </c:ser>
        <c:dLbls>
          <c:showLegendKey val="0"/>
          <c:showVal val="0"/>
          <c:showCatName val="0"/>
          <c:showSerName val="0"/>
          <c:showPercent val="0"/>
          <c:showBubbleSize val="0"/>
        </c:dLbls>
        <c:axId val="2023684223"/>
        <c:axId val="2023682975"/>
      </c:scatterChart>
      <c:valAx>
        <c:axId val="2023684223"/>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23682975"/>
        <c:crosses val="autoZero"/>
        <c:crossBetween val="midCat"/>
      </c:valAx>
      <c:valAx>
        <c:axId val="2023682975"/>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23684223"/>
        <c:crosses val="autoZero"/>
        <c:crossBetween val="midCat"/>
      </c:valAx>
      <c:spPr>
        <a:noFill/>
        <a:ln>
          <a:noFill/>
        </a:ln>
        <a:effectLst/>
      </c:spPr>
    </c:plotArea>
    <c:legend>
      <c:legendPos val="b"/>
      <c:layout>
        <c:manualLayout>
          <c:xMode val="edge"/>
          <c:yMode val="edge"/>
          <c:x val="4.4782085677958383E-2"/>
          <c:y val="0.82034772405532352"/>
          <c:w val="0.95226042725550131"/>
          <c:h val="0.1716586265763359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og"/>
            <c:dispRSqr val="1"/>
            <c:dispEq val="1"/>
            <c:trendlineLbl>
              <c:layout>
                <c:manualLayout>
                  <c:x val="2.1983814523184602E-3"/>
                  <c:y val="-0.12728492271799358"/>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rendlineLbl>
          </c:trendline>
          <c:yVal>
            <c:numRef>
              <c:f>Inputs.ES!$N$195:$AA$195</c:f>
              <c:numCache>
                <c:formatCode>_-"$"* #,##0.00_-;\-"$"* #,##0.00_-;_-"$"* "-"??_-;_-@_-</c:formatCode>
                <c:ptCount val="14"/>
                <c:pt idx="0">
                  <c:v>9.2309053325524726</c:v>
                </c:pt>
                <c:pt idx="1">
                  <c:v>6.9704340599669479</c:v>
                </c:pt>
                <c:pt idx="2">
                  <c:v>6.4766949807192891</c:v>
                </c:pt>
                <c:pt idx="3">
                  <c:v>6.1281732777209417</c:v>
                </c:pt>
                <c:pt idx="4">
                  <c:v>5.8667820004721811</c:v>
                </c:pt>
                <c:pt idx="5">
                  <c:v>5.634434198473282</c:v>
                </c:pt>
                <c:pt idx="6">
                  <c:v>5.3730429212245223</c:v>
                </c:pt>
                <c:pt idx="7">
                  <c:v>5.1697385944754872</c:v>
                </c:pt>
                <c:pt idx="8">
                  <c:v>5.0117171338632254</c:v>
                </c:pt>
                <c:pt idx="9">
                  <c:v>4.9068225347761105</c:v>
                </c:pt>
                <c:pt idx="10">
                  <c:v>4.8447421064295222</c:v>
                </c:pt>
                <c:pt idx="11">
                  <c:v>4.782661678082949</c:v>
                </c:pt>
                <c:pt idx="12">
                  <c:v>4.7205812497363757</c:v>
                </c:pt>
                <c:pt idx="13">
                  <c:v>4.6585008213897865</c:v>
                </c:pt>
              </c:numCache>
            </c:numRef>
          </c:yVal>
          <c:smooth val="0"/>
          <c:extLst>
            <c:ext xmlns:c16="http://schemas.microsoft.com/office/drawing/2014/chart" uri="{C3380CC4-5D6E-409C-BE32-E72D297353CC}">
              <c16:uniqueId val="{00000000-B7D5-40EB-BFFB-54B25CFD35C5}"/>
            </c:ext>
          </c:extLst>
        </c:ser>
        <c:dLbls>
          <c:showLegendKey val="0"/>
          <c:showVal val="0"/>
          <c:showCatName val="0"/>
          <c:showSerName val="0"/>
          <c:showPercent val="0"/>
          <c:showBubbleSize val="0"/>
        </c:dLbls>
        <c:axId val="1058007408"/>
        <c:axId val="1058004080"/>
      </c:scatterChart>
      <c:valAx>
        <c:axId val="1058007408"/>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8004080"/>
        <c:crosses val="autoZero"/>
        <c:crossBetween val="midCat"/>
      </c:valAx>
      <c:valAx>
        <c:axId val="105800408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quot;$&quot;* #,##0.00_-;_-&quot;$&quot;*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8007408"/>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CA"/>
              <a:t>Solar Module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og"/>
            <c:dispRSqr val="1"/>
            <c:dispEq val="1"/>
            <c:trendlineLbl>
              <c:layout>
                <c:manualLayout>
                  <c:x val="-2.8016816250028671E-2"/>
                  <c:y val="-0.15318539727988548"/>
                </c:manualLayout>
              </c:layout>
              <c:numFmt formatCode="General"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rendlineLbl>
          </c:trendline>
          <c:yVal>
            <c:numRef>
              <c:f>Inputs.Solar!$N$35:$AA$35</c:f>
              <c:numCache>
                <c:formatCode>"$"#,##0.00</c:formatCode>
                <c:ptCount val="14"/>
                <c:pt idx="0">
                  <c:v>0.47549497093857951</c:v>
                </c:pt>
                <c:pt idx="2">
                  <c:v>0.3884325114709522</c:v>
                </c:pt>
                <c:pt idx="3">
                  <c:v>0.2917025704174272</c:v>
                </c:pt>
                <c:pt idx="4">
                  <c:v>0.36164406240399011</c:v>
                </c:pt>
                <c:pt idx="7">
                  <c:v>0.32146138880354669</c:v>
                </c:pt>
                <c:pt idx="10">
                  <c:v>0.25449026613614117</c:v>
                </c:pt>
              </c:numCache>
            </c:numRef>
          </c:yVal>
          <c:smooth val="0"/>
          <c:extLst>
            <c:ext xmlns:c16="http://schemas.microsoft.com/office/drawing/2014/chart" uri="{C3380CC4-5D6E-409C-BE32-E72D297353CC}">
              <c16:uniqueId val="{00000000-2A77-41CB-9302-79EBDFC5C97F}"/>
            </c:ext>
          </c:extLst>
        </c:ser>
        <c:dLbls>
          <c:showLegendKey val="0"/>
          <c:showVal val="0"/>
          <c:showCatName val="0"/>
          <c:showSerName val="0"/>
          <c:showPercent val="0"/>
          <c:showBubbleSize val="0"/>
        </c:dLbls>
        <c:axId val="878917392"/>
        <c:axId val="878936112"/>
      </c:scatterChart>
      <c:valAx>
        <c:axId val="878917392"/>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8936112"/>
        <c:crosses val="autoZero"/>
        <c:crossBetween val="midCat"/>
      </c:valAx>
      <c:valAx>
        <c:axId val="878936112"/>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8917392"/>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3" Type="http://schemas.openxmlformats.org/officeDocument/2006/relationships/hyperlink" Target="#'Gas.Peaker.Costs'!C4"/><Relationship Id="rId2" Type="http://schemas.openxmlformats.org/officeDocument/2006/relationships/hyperlink" Target="#'Wind.Costs'!B4"/><Relationship Id="rId1" Type="http://schemas.openxmlformats.org/officeDocument/2006/relationships/hyperlink" Target="#Wind_ES.Costs!A4"/></Relationships>
</file>

<file path=xl/drawings/_rels/drawing11.xml.rels><?xml version="1.0" encoding="UTF-8" standalone="yes"?>
<Relationships xmlns="http://schemas.openxmlformats.org/package/2006/relationships"><Relationship Id="rId3" Type="http://schemas.openxmlformats.org/officeDocument/2006/relationships/hyperlink" Target="#'CCGT.Costs'!C4"/><Relationship Id="rId2" Type="http://schemas.openxmlformats.org/officeDocument/2006/relationships/hyperlink" Target="#'Wind_ES.Costs'!B4"/><Relationship Id="rId1" Type="http://schemas.openxmlformats.org/officeDocument/2006/relationships/hyperlink" Target="#Gas.Peaker.Costs!A4"/></Relationships>
</file>

<file path=xl/drawings/_rels/drawing12.xml.rels><?xml version="1.0" encoding="UTF-8" standalone="yes"?>
<Relationships xmlns="http://schemas.openxmlformats.org/package/2006/relationships"><Relationship Id="rId3" Type="http://schemas.openxmlformats.org/officeDocument/2006/relationships/hyperlink" Target="#'Inputs_SC'!C4"/><Relationship Id="rId2" Type="http://schemas.openxmlformats.org/officeDocument/2006/relationships/hyperlink" Target="#'Gas.Peaker.Costs'!B4"/><Relationship Id="rId1" Type="http://schemas.openxmlformats.org/officeDocument/2006/relationships/hyperlink" Target="#CCGT.Costs!A4"/></Relationships>
</file>

<file path=xl/drawings/_rels/drawing13.xml.rels><?xml version="1.0" encoding="UTF-8" standalone="yes"?>
<Relationships xmlns="http://schemas.openxmlformats.org/package/2006/relationships"><Relationship Id="rId3" Type="http://schemas.openxmlformats.org/officeDocument/2006/relationships/hyperlink" Target="#'CCGT.Costs'!C4"/><Relationship Id="rId2" Type="http://schemas.openxmlformats.org/officeDocument/2006/relationships/hyperlink" Target="#'Wind_ES.Costs'!B4"/><Relationship Id="rId1" Type="http://schemas.openxmlformats.org/officeDocument/2006/relationships/hyperlink" Target="#Gas.Peaker.Costs!A4"/></Relationships>
</file>

<file path=xl/drawings/_rels/drawing14.xml.rels><?xml version="1.0" encoding="UTF-8" standalone="yes"?>
<Relationships xmlns="http://schemas.openxmlformats.org/package/2006/relationships"><Relationship Id="rId3" Type="http://schemas.openxmlformats.org/officeDocument/2006/relationships/hyperlink" Target="#'Inputs_SC'!C4"/><Relationship Id="rId2" Type="http://schemas.openxmlformats.org/officeDocument/2006/relationships/hyperlink" Target="#'Gas.Peaker.Costs'!B4"/><Relationship Id="rId1" Type="http://schemas.openxmlformats.org/officeDocument/2006/relationships/hyperlink" Target="#CCGT.Costs!A4"/></Relationships>
</file>

<file path=xl/drawings/_rels/drawing15.xml.rels><?xml version="1.0" encoding="UTF-8" standalone="yes"?>
<Relationships xmlns="http://schemas.openxmlformats.org/package/2006/relationships"><Relationship Id="rId3" Type="http://schemas.openxmlformats.org/officeDocument/2006/relationships/hyperlink" Target="#'Inputs.ES'!C4"/><Relationship Id="rId2" Type="http://schemas.openxmlformats.org/officeDocument/2006/relationships/hyperlink" Target="#'CCGT.Costs'!B4"/><Relationship Id="rId1" Type="http://schemas.openxmlformats.org/officeDocument/2006/relationships/image" Target="../media/image1.jpg"/></Relationships>
</file>

<file path=xl/drawings/_rels/drawing16.xml.rels><?xml version="1.0" encoding="UTF-8" standalone="yes"?>
<Relationships xmlns="http://schemas.openxmlformats.org/package/2006/relationships"><Relationship Id="rId3" Type="http://schemas.openxmlformats.org/officeDocument/2006/relationships/hyperlink" Target="#'Inputs.Solar'!C4"/><Relationship Id="rId7" Type="http://schemas.openxmlformats.org/officeDocument/2006/relationships/chart" Target="../charts/chart8.xml"/><Relationship Id="rId2" Type="http://schemas.openxmlformats.org/officeDocument/2006/relationships/hyperlink" Target="#'Inputs_SC'!B4"/><Relationship Id="rId1" Type="http://schemas.openxmlformats.org/officeDocument/2006/relationships/hyperlink" Target="#Inputs.ES!A4"/><Relationship Id="rId6" Type="http://schemas.openxmlformats.org/officeDocument/2006/relationships/chart" Target="../charts/chart7.xml"/><Relationship Id="rId5" Type="http://schemas.openxmlformats.org/officeDocument/2006/relationships/chart" Target="../charts/chart6.xml"/><Relationship Id="rId4" Type="http://schemas.openxmlformats.org/officeDocument/2006/relationships/chart" Target="../charts/chart5.xml"/></Relationships>
</file>

<file path=xl/drawings/_rels/drawing17.xml.rels><?xml version="1.0" encoding="UTF-8" standalone="yes"?>
<Relationships xmlns="http://schemas.openxmlformats.org/package/2006/relationships"><Relationship Id="rId8" Type="http://schemas.openxmlformats.org/officeDocument/2006/relationships/chart" Target="../charts/chart13.xml"/><Relationship Id="rId3" Type="http://schemas.openxmlformats.org/officeDocument/2006/relationships/hyperlink" Target="#'Inputs.Wind'!C4"/><Relationship Id="rId7" Type="http://schemas.openxmlformats.org/officeDocument/2006/relationships/chart" Target="../charts/chart12.xml"/><Relationship Id="rId2" Type="http://schemas.openxmlformats.org/officeDocument/2006/relationships/hyperlink" Target="#'Inputs.ES'!B4"/><Relationship Id="rId1" Type="http://schemas.openxmlformats.org/officeDocument/2006/relationships/hyperlink" Target="#Inputs.Solar!A4"/><Relationship Id="rId6" Type="http://schemas.openxmlformats.org/officeDocument/2006/relationships/chart" Target="../charts/chart11.xml"/><Relationship Id="rId5" Type="http://schemas.openxmlformats.org/officeDocument/2006/relationships/chart" Target="../charts/chart10.xml"/><Relationship Id="rId4" Type="http://schemas.openxmlformats.org/officeDocument/2006/relationships/chart" Target="../charts/chart9.xml"/></Relationships>
</file>

<file path=xl/drawings/_rels/drawing18.xml.rels><?xml version="1.0" encoding="UTF-8" standalone="yes"?>
<Relationships xmlns="http://schemas.openxmlformats.org/package/2006/relationships"><Relationship Id="rId3" Type="http://schemas.openxmlformats.org/officeDocument/2006/relationships/hyperlink" Target="#'Inputs.Gas.Peaker'!C4"/><Relationship Id="rId2" Type="http://schemas.openxmlformats.org/officeDocument/2006/relationships/hyperlink" Target="#'Inputs.Solar'!B4"/><Relationship Id="rId1" Type="http://schemas.openxmlformats.org/officeDocument/2006/relationships/hyperlink" Target="#Inputs.Wind!A4"/><Relationship Id="rId4" Type="http://schemas.openxmlformats.org/officeDocument/2006/relationships/chart" Target="../charts/chart14.xml"/></Relationships>
</file>

<file path=xl/drawings/_rels/drawing19.xml.rels><?xml version="1.0" encoding="UTF-8" standalone="yes"?>
<Relationships xmlns="http://schemas.openxmlformats.org/package/2006/relationships"><Relationship Id="rId3" Type="http://schemas.openxmlformats.org/officeDocument/2006/relationships/hyperlink" Target="#'Inputs.CCGT'!C4"/><Relationship Id="rId2" Type="http://schemas.openxmlformats.org/officeDocument/2006/relationships/hyperlink" Target="#'Inputs.Wind'!B4"/><Relationship Id="rId1" Type="http://schemas.openxmlformats.org/officeDocument/2006/relationships/hyperlink" Target="#Inputs.Gas.Peaker!A4"/></Relationships>
</file>

<file path=xl/drawings/_rels/drawing2.xml.rels><?xml version="1.0" encoding="UTF-8" standalone="yes"?>
<Relationships xmlns="http://schemas.openxmlformats.org/package/2006/relationships"><Relationship Id="rId1" Type="http://schemas.openxmlformats.org/officeDocument/2006/relationships/hyperlink" Target="#_Contents!A4"/></Relationships>
</file>

<file path=xl/drawings/_rels/drawing20.xml.rels><?xml version="1.0" encoding="UTF-8" standalone="yes"?>
<Relationships xmlns="http://schemas.openxmlformats.org/package/2006/relationships"><Relationship Id="rId3" Type="http://schemas.openxmlformats.org/officeDocument/2006/relationships/hyperlink" Target="#'Lookup_SC'!C4"/><Relationship Id="rId2" Type="http://schemas.openxmlformats.org/officeDocument/2006/relationships/hyperlink" Target="#'Inputs.Gas.Peaker'!B4"/><Relationship Id="rId1" Type="http://schemas.openxmlformats.org/officeDocument/2006/relationships/hyperlink" Target="#Inputs.CCGT!A4"/></Relationships>
</file>

<file path=xl/drawings/_rels/drawing21.xml.rels><?xml version="1.0" encoding="UTF-8" standalone="yes"?>
<Relationships xmlns="http://schemas.openxmlformats.org/package/2006/relationships"><Relationship Id="rId3" Type="http://schemas.openxmlformats.org/officeDocument/2006/relationships/hyperlink" Target="#'Jurisdiction_Inputs'!C4"/><Relationship Id="rId2" Type="http://schemas.openxmlformats.org/officeDocument/2006/relationships/hyperlink" Target="#'Inputs.CCGT'!B4"/><Relationship Id="rId1" Type="http://schemas.openxmlformats.org/officeDocument/2006/relationships/image" Target="../media/image1.jpg"/></Relationships>
</file>

<file path=xl/drawings/_rels/drawing22.xml.rels><?xml version="1.0" encoding="UTF-8" standalone="yes"?>
<Relationships xmlns="http://schemas.openxmlformats.org/package/2006/relationships"><Relationship Id="rId3" Type="http://schemas.openxmlformats.org/officeDocument/2006/relationships/hyperlink" Target="#'_Cover'!C4"/><Relationship Id="rId2" Type="http://schemas.openxmlformats.org/officeDocument/2006/relationships/hyperlink" Target="#'Lookup_SC'!B4"/><Relationship Id="rId1" Type="http://schemas.openxmlformats.org/officeDocument/2006/relationships/hyperlink" Target="#Jurisdiction_Inputs!A4"/></Relationships>
</file>

<file path=xl/drawings/_rels/drawing3.xml.rels><?xml version="1.0" encoding="UTF-8" standalone="yes"?>
<Relationships xmlns="http://schemas.openxmlformats.org/package/2006/relationships"><Relationship Id="rId3" Type="http://schemas.openxmlformats.org/officeDocument/2006/relationships/hyperlink" Target="#'Carbon.Tax_Inputs'!C4"/><Relationship Id="rId7" Type="http://schemas.openxmlformats.org/officeDocument/2006/relationships/chart" Target="../charts/chart4.xml"/><Relationship Id="rId2" Type="http://schemas.openxmlformats.org/officeDocument/2006/relationships/hyperlink" Target="#'_Contents'!B4"/><Relationship Id="rId1" Type="http://schemas.openxmlformats.org/officeDocument/2006/relationships/hyperlink" Target="#Dashboard!A4"/><Relationship Id="rId6" Type="http://schemas.openxmlformats.org/officeDocument/2006/relationships/chart" Target="../charts/chart3.xml"/><Relationship Id="rId5" Type="http://schemas.openxmlformats.org/officeDocument/2006/relationships/chart" Target="../charts/chart2.xml"/><Relationship Id="rId4" Type="http://schemas.openxmlformats.org/officeDocument/2006/relationships/chart" Target="../charts/chart1.xml"/></Relationships>
</file>

<file path=xl/drawings/_rels/drawing4.xml.rels><?xml version="1.0" encoding="UTF-8" standalone="yes"?>
<Relationships xmlns="http://schemas.openxmlformats.org/package/2006/relationships"><Relationship Id="rId3" Type="http://schemas.openxmlformats.org/officeDocument/2006/relationships/hyperlink" Target="#'Cost_Forecast_SC'!C4"/><Relationship Id="rId2" Type="http://schemas.openxmlformats.org/officeDocument/2006/relationships/hyperlink" Target="#'Dashboard'!B4"/><Relationship Id="rId1" Type="http://schemas.openxmlformats.org/officeDocument/2006/relationships/hyperlink" Target="#Carbon.Tax_Inputs!A4"/></Relationships>
</file>

<file path=xl/drawings/_rels/drawing5.xml.rels><?xml version="1.0" encoding="UTF-8" standalone="yes"?>
<Relationships xmlns="http://schemas.openxmlformats.org/package/2006/relationships"><Relationship Id="rId3" Type="http://schemas.openxmlformats.org/officeDocument/2006/relationships/hyperlink" Target="#'ES.Costs'!C4"/><Relationship Id="rId2" Type="http://schemas.openxmlformats.org/officeDocument/2006/relationships/hyperlink" Target="#'Carbon.Tax_Inputs'!B4"/><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3" Type="http://schemas.openxmlformats.org/officeDocument/2006/relationships/hyperlink" Target="#'Solar.Costs'!C4"/><Relationship Id="rId2" Type="http://schemas.openxmlformats.org/officeDocument/2006/relationships/hyperlink" Target="#'Cost_Forecast_SC'!B4"/><Relationship Id="rId1" Type="http://schemas.openxmlformats.org/officeDocument/2006/relationships/hyperlink" Target="#ES.Costs!A4"/></Relationships>
</file>

<file path=xl/drawings/_rels/drawing7.xml.rels><?xml version="1.0" encoding="UTF-8" standalone="yes"?>
<Relationships xmlns="http://schemas.openxmlformats.org/package/2006/relationships"><Relationship Id="rId3" Type="http://schemas.openxmlformats.org/officeDocument/2006/relationships/hyperlink" Target="#'Solar_ES.Costs'!C4"/><Relationship Id="rId2" Type="http://schemas.openxmlformats.org/officeDocument/2006/relationships/hyperlink" Target="#'ES.Costs'!B4"/><Relationship Id="rId1" Type="http://schemas.openxmlformats.org/officeDocument/2006/relationships/hyperlink" Target="#Solar.Costs!A4"/></Relationships>
</file>

<file path=xl/drawings/_rels/drawing8.xml.rels><?xml version="1.0" encoding="UTF-8" standalone="yes"?>
<Relationships xmlns="http://schemas.openxmlformats.org/package/2006/relationships"><Relationship Id="rId3" Type="http://schemas.openxmlformats.org/officeDocument/2006/relationships/hyperlink" Target="#'Wind.Costs'!C4"/><Relationship Id="rId2" Type="http://schemas.openxmlformats.org/officeDocument/2006/relationships/hyperlink" Target="#'Solar.Costs'!B4"/><Relationship Id="rId1" Type="http://schemas.openxmlformats.org/officeDocument/2006/relationships/hyperlink" Target="#Solar_ES.Costs!A4"/></Relationships>
</file>

<file path=xl/drawings/_rels/drawing9.xml.rels><?xml version="1.0" encoding="UTF-8" standalone="yes"?>
<Relationships xmlns="http://schemas.openxmlformats.org/package/2006/relationships"><Relationship Id="rId3" Type="http://schemas.openxmlformats.org/officeDocument/2006/relationships/hyperlink" Target="#'Wind_ES.Costs'!C4"/><Relationship Id="rId2" Type="http://schemas.openxmlformats.org/officeDocument/2006/relationships/hyperlink" Target="#'Solar_ES.Costs'!B4"/><Relationship Id="rId1" Type="http://schemas.openxmlformats.org/officeDocument/2006/relationships/hyperlink" Target="#Wind.Costs!A4"/></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4</xdr:row>
      <xdr:rowOff>7620</xdr:rowOff>
    </xdr:from>
    <xdr:to>
      <xdr:col>4</xdr:col>
      <xdr:colOff>1236821</xdr:colOff>
      <xdr:row>6</xdr:row>
      <xdr:rowOff>135065</xdr:rowOff>
    </xdr:to>
    <xdr:pic>
      <xdr:nvPicPr>
        <xdr:cNvPr id="2" name="CompanyLogo">
          <a:extLst>
            <a:ext uri="{FF2B5EF4-FFF2-40B4-BE49-F238E27FC236}">
              <a16:creationId xmlns:a16="http://schemas.microsoft.com/office/drawing/2014/main" id="{5CDBECD2-DCDE-4597-848E-95E34350AB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0" y="731520"/>
          <a:ext cx="1817846" cy="493205"/>
        </a:xfrm>
        <a:prstGeom prst="rect">
          <a:avLst/>
        </a:prstGeom>
      </xdr:spPr>
    </xdr:pic>
    <xdr:clientData/>
  </xdr:twoCellAnchor>
  <xdr:oneCellAnchor>
    <xdr:from>
      <xdr:col>9</xdr:col>
      <xdr:colOff>567690</xdr:colOff>
      <xdr:row>2</xdr:row>
      <xdr:rowOff>125730</xdr:rowOff>
    </xdr:from>
    <xdr:ext cx="6507480" cy="1626471"/>
    <xdr:sp macro="" textlink="">
      <xdr:nvSpPr>
        <xdr:cNvPr id="3" name="TextBox 2">
          <a:extLst>
            <a:ext uri="{FF2B5EF4-FFF2-40B4-BE49-F238E27FC236}">
              <a16:creationId xmlns:a16="http://schemas.microsoft.com/office/drawing/2014/main" id="{B3EA22B1-80E4-4A5D-433D-93C686952351}"/>
            </a:ext>
          </a:extLst>
        </xdr:cNvPr>
        <xdr:cNvSpPr txBox="1"/>
      </xdr:nvSpPr>
      <xdr:spPr>
        <a:xfrm>
          <a:off x="5073015" y="487680"/>
          <a:ext cx="6507480" cy="1626471"/>
        </a:xfrm>
        <a:prstGeom prst="rect">
          <a:avLst/>
        </a:prstGeom>
        <a:solidFill>
          <a:schemeClr val="accent5"/>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a:solidFill>
                <a:schemeClr val="tx1"/>
              </a:solidFill>
              <a:effectLst/>
              <a:latin typeface="+mn-lt"/>
              <a:ea typeface="+mn-ea"/>
              <a:cs typeface="+mn-cs"/>
            </a:rPr>
            <a:t>This workbook was prepared by Dunsky Energy + Climate Advisors, an independent firm focused on the clean energy transition and committed to quality, integrity and unbiased analysis and counsel.  Our analyses are based on the best information available at the time the work was conducted, as well as our experts' professional judgment. </a:t>
          </a:r>
        </a:p>
        <a:p>
          <a:endParaRPr lang="en-CA" sz="1400">
            <a:solidFill>
              <a:schemeClr val="tx1"/>
            </a:solidFill>
            <a:effectLst/>
            <a:latin typeface="+mn-lt"/>
            <a:ea typeface="+mn-ea"/>
            <a:cs typeface="+mn-cs"/>
          </a:endParaRPr>
        </a:p>
        <a:p>
          <a:r>
            <a:rPr lang="en-US" sz="1400">
              <a:solidFill>
                <a:schemeClr val="tx1"/>
              </a:solidFill>
              <a:effectLst/>
              <a:latin typeface="+mn-lt"/>
              <a:ea typeface="+mn-ea"/>
              <a:cs typeface="+mn-cs"/>
            </a:rPr>
            <a:t>For any comments, email us at </a:t>
          </a:r>
          <a:r>
            <a:rPr lang="en-US" sz="1400" u="sng">
              <a:solidFill>
                <a:schemeClr val="tx1"/>
              </a:solidFill>
              <a:effectLst/>
              <a:latin typeface="+mn-lt"/>
              <a:ea typeface="+mn-ea"/>
              <a:cs typeface="+mn-cs"/>
              <a:hlinkClick xmlns:r="http://schemas.openxmlformats.org/officeDocument/2006/relationships" r:id=""/>
            </a:rPr>
            <a:t>info@dunsky.com</a:t>
          </a:r>
          <a:r>
            <a:rPr lang="en-US" sz="1400">
              <a:solidFill>
                <a:schemeClr val="tx1"/>
              </a:solidFill>
              <a:effectLst/>
              <a:latin typeface="+mn-lt"/>
              <a:ea typeface="+mn-ea"/>
              <a:cs typeface="+mn-cs"/>
            </a:rPr>
            <a:t>. </a:t>
          </a:r>
          <a:endParaRPr lang="en-CA" sz="1400"/>
        </a:p>
      </xdr:txBody>
    </xdr:sp>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3</xdr:row>
      <xdr:rowOff>50800</xdr:rowOff>
    </xdr:from>
    <xdr:to>
      <xdr:col>0</xdr:col>
      <xdr:colOff>114300</xdr:colOff>
      <xdr:row>4</xdr:row>
      <xdr:rowOff>3175</xdr:rowOff>
    </xdr:to>
    <xdr:sp macro="" textlink="">
      <xdr:nvSpPr>
        <xdr:cNvPr id="2" name="ArrowSheetTop">
          <a:hlinkClick xmlns:r="http://schemas.openxmlformats.org/officeDocument/2006/relationships" r:id="rId1" tooltip="Top of Sheet"/>
          <a:extLst>
            <a:ext uri="{FF2B5EF4-FFF2-40B4-BE49-F238E27FC236}">
              <a16:creationId xmlns:a16="http://schemas.microsoft.com/office/drawing/2014/main" id="{42CB7B1E-F827-44D5-8C92-22508CFA4DE9}"/>
            </a:ext>
          </a:extLst>
        </xdr:cNvPr>
        <xdr:cNvSpPr>
          <a:spLocks noChangeAspect="1"/>
        </xdr:cNvSpPr>
      </xdr:nvSpPr>
      <xdr:spPr>
        <a:xfrm>
          <a:off x="0" y="730885"/>
          <a:ext cx="114300" cy="148590"/>
        </a:xfrm>
        <a:prstGeom prst="up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1</xdr:col>
      <xdr:colOff>0</xdr:colOff>
      <xdr:row>3</xdr:row>
      <xdr:rowOff>88900</xdr:rowOff>
    </xdr:from>
    <xdr:to>
      <xdr:col>1</xdr:col>
      <xdr:colOff>152400</xdr:colOff>
      <xdr:row>4</xdr:row>
      <xdr:rowOff>3175</xdr:rowOff>
    </xdr:to>
    <xdr:sp macro="" textlink="">
      <xdr:nvSpPr>
        <xdr:cNvPr id="3" name="ArrowSheetPrevious">
          <a:hlinkClick xmlns:r="http://schemas.openxmlformats.org/officeDocument/2006/relationships" r:id="rId2" tooltip="Previous Sheet"/>
          <a:extLst>
            <a:ext uri="{FF2B5EF4-FFF2-40B4-BE49-F238E27FC236}">
              <a16:creationId xmlns:a16="http://schemas.microsoft.com/office/drawing/2014/main" id="{71B38351-EEF7-4CC8-94E5-A9AEBCC27503}"/>
            </a:ext>
          </a:extLst>
        </xdr:cNvPr>
        <xdr:cNvSpPr/>
      </xdr:nvSpPr>
      <xdr:spPr>
        <a:xfrm>
          <a:off x="180975" y="768985"/>
          <a:ext cx="152400" cy="110490"/>
        </a:xfrm>
        <a:prstGeom prst="lef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2</xdr:col>
      <xdr:colOff>0</xdr:colOff>
      <xdr:row>3</xdr:row>
      <xdr:rowOff>88900</xdr:rowOff>
    </xdr:from>
    <xdr:to>
      <xdr:col>2</xdr:col>
      <xdr:colOff>152400</xdr:colOff>
      <xdr:row>4</xdr:row>
      <xdr:rowOff>3175</xdr:rowOff>
    </xdr:to>
    <xdr:sp macro="" textlink="">
      <xdr:nvSpPr>
        <xdr:cNvPr id="4" name="ArrowSheetNext">
          <a:hlinkClick xmlns:r="http://schemas.openxmlformats.org/officeDocument/2006/relationships" r:id="rId3" tooltip="Next Sheet"/>
          <a:extLst>
            <a:ext uri="{FF2B5EF4-FFF2-40B4-BE49-F238E27FC236}">
              <a16:creationId xmlns:a16="http://schemas.microsoft.com/office/drawing/2014/main" id="{8AE7684D-4DC1-4B70-B4F5-5A9738356749}"/>
            </a:ext>
          </a:extLst>
        </xdr:cNvPr>
        <xdr:cNvSpPr/>
      </xdr:nvSpPr>
      <xdr:spPr>
        <a:xfrm>
          <a:off x="361950" y="768985"/>
          <a:ext cx="152400" cy="110490"/>
        </a:xfrm>
        <a:prstGeom prst="righ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3</xdr:row>
      <xdr:rowOff>52705</xdr:rowOff>
    </xdr:from>
    <xdr:to>
      <xdr:col>0</xdr:col>
      <xdr:colOff>114300</xdr:colOff>
      <xdr:row>4</xdr:row>
      <xdr:rowOff>20320</xdr:rowOff>
    </xdr:to>
    <xdr:sp macro="" textlink="">
      <xdr:nvSpPr>
        <xdr:cNvPr id="2" name="ArrowSheetTop">
          <a:hlinkClick xmlns:r="http://schemas.openxmlformats.org/officeDocument/2006/relationships" r:id="rId1" tooltip="Top of Sheet"/>
          <a:extLst>
            <a:ext uri="{FF2B5EF4-FFF2-40B4-BE49-F238E27FC236}">
              <a16:creationId xmlns:a16="http://schemas.microsoft.com/office/drawing/2014/main" id="{908C76D1-39E1-B2F7-5BDA-A65CCFD5E775}"/>
            </a:ext>
          </a:extLst>
        </xdr:cNvPr>
        <xdr:cNvSpPr>
          <a:spLocks noChangeAspect="1"/>
        </xdr:cNvSpPr>
      </xdr:nvSpPr>
      <xdr:spPr>
        <a:xfrm>
          <a:off x="0" y="728980"/>
          <a:ext cx="114300" cy="152400"/>
        </a:xfrm>
        <a:prstGeom prst="up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1</xdr:col>
      <xdr:colOff>0</xdr:colOff>
      <xdr:row>3</xdr:row>
      <xdr:rowOff>90805</xdr:rowOff>
    </xdr:from>
    <xdr:to>
      <xdr:col>1</xdr:col>
      <xdr:colOff>152400</xdr:colOff>
      <xdr:row>4</xdr:row>
      <xdr:rowOff>20320</xdr:rowOff>
    </xdr:to>
    <xdr:sp macro="" textlink="">
      <xdr:nvSpPr>
        <xdr:cNvPr id="3" name="ArrowSheetPrevious">
          <a:hlinkClick xmlns:r="http://schemas.openxmlformats.org/officeDocument/2006/relationships" r:id="rId2" tooltip="Previous Sheet"/>
          <a:extLst>
            <a:ext uri="{FF2B5EF4-FFF2-40B4-BE49-F238E27FC236}">
              <a16:creationId xmlns:a16="http://schemas.microsoft.com/office/drawing/2014/main" id="{CA301F22-7679-C010-3F7A-05945581ECA1}"/>
            </a:ext>
          </a:extLst>
        </xdr:cNvPr>
        <xdr:cNvSpPr/>
      </xdr:nvSpPr>
      <xdr:spPr>
        <a:xfrm>
          <a:off x="190500" y="767080"/>
          <a:ext cx="152400" cy="114300"/>
        </a:xfrm>
        <a:prstGeom prst="lef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2</xdr:col>
      <xdr:colOff>0</xdr:colOff>
      <xdr:row>3</xdr:row>
      <xdr:rowOff>90805</xdr:rowOff>
    </xdr:from>
    <xdr:to>
      <xdr:col>2</xdr:col>
      <xdr:colOff>152400</xdr:colOff>
      <xdr:row>4</xdr:row>
      <xdr:rowOff>20320</xdr:rowOff>
    </xdr:to>
    <xdr:sp macro="" textlink="">
      <xdr:nvSpPr>
        <xdr:cNvPr id="4" name="ArrowSheetNext">
          <a:hlinkClick xmlns:r="http://schemas.openxmlformats.org/officeDocument/2006/relationships" r:id="rId3" tooltip="Next Sheet"/>
          <a:extLst>
            <a:ext uri="{FF2B5EF4-FFF2-40B4-BE49-F238E27FC236}">
              <a16:creationId xmlns:a16="http://schemas.microsoft.com/office/drawing/2014/main" id="{C3CC7B3E-79DF-7909-15F8-2C3D8A80755C}"/>
            </a:ext>
          </a:extLst>
        </xdr:cNvPr>
        <xdr:cNvSpPr/>
      </xdr:nvSpPr>
      <xdr:spPr>
        <a:xfrm>
          <a:off x="381000" y="767080"/>
          <a:ext cx="152400" cy="114300"/>
        </a:xfrm>
        <a:prstGeom prst="righ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3</xdr:row>
      <xdr:rowOff>52705</xdr:rowOff>
    </xdr:from>
    <xdr:to>
      <xdr:col>0</xdr:col>
      <xdr:colOff>114300</xdr:colOff>
      <xdr:row>4</xdr:row>
      <xdr:rowOff>20320</xdr:rowOff>
    </xdr:to>
    <xdr:sp macro="" textlink="">
      <xdr:nvSpPr>
        <xdr:cNvPr id="2" name="ArrowSheetTop">
          <a:hlinkClick xmlns:r="http://schemas.openxmlformats.org/officeDocument/2006/relationships" r:id="rId1" tooltip="Top of Sheet"/>
          <a:extLst>
            <a:ext uri="{FF2B5EF4-FFF2-40B4-BE49-F238E27FC236}">
              <a16:creationId xmlns:a16="http://schemas.microsoft.com/office/drawing/2014/main" id="{B2BE176E-9240-4318-8C3E-A85C7CCD15E6}"/>
            </a:ext>
          </a:extLst>
        </xdr:cNvPr>
        <xdr:cNvSpPr>
          <a:spLocks noChangeAspect="1"/>
        </xdr:cNvSpPr>
      </xdr:nvSpPr>
      <xdr:spPr>
        <a:xfrm>
          <a:off x="0" y="732790"/>
          <a:ext cx="114300" cy="163830"/>
        </a:xfrm>
        <a:prstGeom prst="up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1</xdr:col>
      <xdr:colOff>0</xdr:colOff>
      <xdr:row>3</xdr:row>
      <xdr:rowOff>90805</xdr:rowOff>
    </xdr:from>
    <xdr:to>
      <xdr:col>1</xdr:col>
      <xdr:colOff>152400</xdr:colOff>
      <xdr:row>4</xdr:row>
      <xdr:rowOff>20320</xdr:rowOff>
    </xdr:to>
    <xdr:sp macro="" textlink="">
      <xdr:nvSpPr>
        <xdr:cNvPr id="3" name="ArrowSheetPrevious">
          <a:hlinkClick xmlns:r="http://schemas.openxmlformats.org/officeDocument/2006/relationships" r:id="rId2" tooltip="Previous Sheet"/>
          <a:extLst>
            <a:ext uri="{FF2B5EF4-FFF2-40B4-BE49-F238E27FC236}">
              <a16:creationId xmlns:a16="http://schemas.microsoft.com/office/drawing/2014/main" id="{E5F2CD12-5C9B-4D48-9179-CAE3ED205B74}"/>
            </a:ext>
          </a:extLst>
        </xdr:cNvPr>
        <xdr:cNvSpPr/>
      </xdr:nvSpPr>
      <xdr:spPr>
        <a:xfrm>
          <a:off x="180975" y="770890"/>
          <a:ext cx="152400" cy="125730"/>
        </a:xfrm>
        <a:prstGeom prst="lef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2</xdr:col>
      <xdr:colOff>0</xdr:colOff>
      <xdr:row>3</xdr:row>
      <xdr:rowOff>90805</xdr:rowOff>
    </xdr:from>
    <xdr:to>
      <xdr:col>2</xdr:col>
      <xdr:colOff>152400</xdr:colOff>
      <xdr:row>4</xdr:row>
      <xdr:rowOff>20320</xdr:rowOff>
    </xdr:to>
    <xdr:sp macro="" textlink="">
      <xdr:nvSpPr>
        <xdr:cNvPr id="4" name="ArrowSheetNext">
          <a:hlinkClick xmlns:r="http://schemas.openxmlformats.org/officeDocument/2006/relationships" r:id="rId3" tooltip="Next Sheet"/>
          <a:extLst>
            <a:ext uri="{FF2B5EF4-FFF2-40B4-BE49-F238E27FC236}">
              <a16:creationId xmlns:a16="http://schemas.microsoft.com/office/drawing/2014/main" id="{645BEA5C-5661-4B54-8A36-F157F03C26A2}"/>
            </a:ext>
          </a:extLst>
        </xdr:cNvPr>
        <xdr:cNvSpPr/>
      </xdr:nvSpPr>
      <xdr:spPr>
        <a:xfrm>
          <a:off x="361950" y="770890"/>
          <a:ext cx="152400" cy="125730"/>
        </a:xfrm>
        <a:prstGeom prst="righ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3</xdr:row>
      <xdr:rowOff>52705</xdr:rowOff>
    </xdr:from>
    <xdr:to>
      <xdr:col>0</xdr:col>
      <xdr:colOff>114300</xdr:colOff>
      <xdr:row>4</xdr:row>
      <xdr:rowOff>20320</xdr:rowOff>
    </xdr:to>
    <xdr:sp macro="" textlink="">
      <xdr:nvSpPr>
        <xdr:cNvPr id="2" name="ArrowSheetTop">
          <a:hlinkClick xmlns:r="http://schemas.openxmlformats.org/officeDocument/2006/relationships" r:id="rId1" tooltip="Top of Sheet"/>
          <a:extLst>
            <a:ext uri="{FF2B5EF4-FFF2-40B4-BE49-F238E27FC236}">
              <a16:creationId xmlns:a16="http://schemas.microsoft.com/office/drawing/2014/main" id="{08539D2E-E3CE-43B2-AAA2-ABB096E56B0F}"/>
            </a:ext>
          </a:extLst>
        </xdr:cNvPr>
        <xdr:cNvSpPr>
          <a:spLocks noChangeAspect="1"/>
        </xdr:cNvSpPr>
      </xdr:nvSpPr>
      <xdr:spPr>
        <a:xfrm>
          <a:off x="0" y="732790"/>
          <a:ext cx="114300" cy="160020"/>
        </a:xfrm>
        <a:prstGeom prst="up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1</xdr:col>
      <xdr:colOff>0</xdr:colOff>
      <xdr:row>3</xdr:row>
      <xdr:rowOff>90805</xdr:rowOff>
    </xdr:from>
    <xdr:to>
      <xdr:col>1</xdr:col>
      <xdr:colOff>152400</xdr:colOff>
      <xdr:row>4</xdr:row>
      <xdr:rowOff>20320</xdr:rowOff>
    </xdr:to>
    <xdr:sp macro="" textlink="">
      <xdr:nvSpPr>
        <xdr:cNvPr id="3" name="ArrowSheetPrevious">
          <a:hlinkClick xmlns:r="http://schemas.openxmlformats.org/officeDocument/2006/relationships" r:id="rId2" tooltip="Previous Sheet"/>
          <a:extLst>
            <a:ext uri="{FF2B5EF4-FFF2-40B4-BE49-F238E27FC236}">
              <a16:creationId xmlns:a16="http://schemas.microsoft.com/office/drawing/2014/main" id="{415F1051-3D86-4A5F-911D-D6F6E304CBE1}"/>
            </a:ext>
          </a:extLst>
        </xdr:cNvPr>
        <xdr:cNvSpPr/>
      </xdr:nvSpPr>
      <xdr:spPr>
        <a:xfrm>
          <a:off x="180975" y="770890"/>
          <a:ext cx="152400" cy="121920"/>
        </a:xfrm>
        <a:prstGeom prst="lef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2</xdr:col>
      <xdr:colOff>0</xdr:colOff>
      <xdr:row>3</xdr:row>
      <xdr:rowOff>90805</xdr:rowOff>
    </xdr:from>
    <xdr:to>
      <xdr:col>2</xdr:col>
      <xdr:colOff>152400</xdr:colOff>
      <xdr:row>4</xdr:row>
      <xdr:rowOff>20320</xdr:rowOff>
    </xdr:to>
    <xdr:sp macro="" textlink="">
      <xdr:nvSpPr>
        <xdr:cNvPr id="4" name="ArrowSheetNext">
          <a:hlinkClick xmlns:r="http://schemas.openxmlformats.org/officeDocument/2006/relationships" r:id="rId3" tooltip="Next Sheet"/>
          <a:extLst>
            <a:ext uri="{FF2B5EF4-FFF2-40B4-BE49-F238E27FC236}">
              <a16:creationId xmlns:a16="http://schemas.microsoft.com/office/drawing/2014/main" id="{2623FA48-BCF3-4204-8F28-2EE7E1ABB1BC}"/>
            </a:ext>
          </a:extLst>
        </xdr:cNvPr>
        <xdr:cNvSpPr/>
      </xdr:nvSpPr>
      <xdr:spPr>
        <a:xfrm>
          <a:off x="361950" y="770890"/>
          <a:ext cx="152400" cy="121920"/>
        </a:xfrm>
        <a:prstGeom prst="righ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3</xdr:row>
      <xdr:rowOff>52705</xdr:rowOff>
    </xdr:from>
    <xdr:to>
      <xdr:col>0</xdr:col>
      <xdr:colOff>114300</xdr:colOff>
      <xdr:row>4</xdr:row>
      <xdr:rowOff>20320</xdr:rowOff>
    </xdr:to>
    <xdr:sp macro="" textlink="">
      <xdr:nvSpPr>
        <xdr:cNvPr id="2" name="ArrowSheetTop">
          <a:hlinkClick xmlns:r="http://schemas.openxmlformats.org/officeDocument/2006/relationships" r:id="rId1" tooltip="Top of Sheet"/>
          <a:extLst>
            <a:ext uri="{FF2B5EF4-FFF2-40B4-BE49-F238E27FC236}">
              <a16:creationId xmlns:a16="http://schemas.microsoft.com/office/drawing/2014/main" id="{169112F9-FD16-4639-9A29-3B2410ED115A}"/>
            </a:ext>
          </a:extLst>
        </xdr:cNvPr>
        <xdr:cNvSpPr>
          <a:spLocks noChangeAspect="1"/>
        </xdr:cNvSpPr>
      </xdr:nvSpPr>
      <xdr:spPr>
        <a:xfrm>
          <a:off x="0" y="732790"/>
          <a:ext cx="114300" cy="160020"/>
        </a:xfrm>
        <a:prstGeom prst="up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1</xdr:col>
      <xdr:colOff>0</xdr:colOff>
      <xdr:row>3</xdr:row>
      <xdr:rowOff>90805</xdr:rowOff>
    </xdr:from>
    <xdr:to>
      <xdr:col>1</xdr:col>
      <xdr:colOff>152400</xdr:colOff>
      <xdr:row>4</xdr:row>
      <xdr:rowOff>20320</xdr:rowOff>
    </xdr:to>
    <xdr:sp macro="" textlink="">
      <xdr:nvSpPr>
        <xdr:cNvPr id="3" name="ArrowSheetPrevious">
          <a:hlinkClick xmlns:r="http://schemas.openxmlformats.org/officeDocument/2006/relationships" r:id="rId2" tooltip="Previous Sheet"/>
          <a:extLst>
            <a:ext uri="{FF2B5EF4-FFF2-40B4-BE49-F238E27FC236}">
              <a16:creationId xmlns:a16="http://schemas.microsoft.com/office/drawing/2014/main" id="{5484C181-D25C-4D25-8195-EA026F90F8C5}"/>
            </a:ext>
          </a:extLst>
        </xdr:cNvPr>
        <xdr:cNvSpPr/>
      </xdr:nvSpPr>
      <xdr:spPr>
        <a:xfrm>
          <a:off x="180975" y="770890"/>
          <a:ext cx="152400" cy="121920"/>
        </a:xfrm>
        <a:prstGeom prst="lef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2</xdr:col>
      <xdr:colOff>0</xdr:colOff>
      <xdr:row>3</xdr:row>
      <xdr:rowOff>90805</xdr:rowOff>
    </xdr:from>
    <xdr:to>
      <xdr:col>2</xdr:col>
      <xdr:colOff>152400</xdr:colOff>
      <xdr:row>4</xdr:row>
      <xdr:rowOff>20320</xdr:rowOff>
    </xdr:to>
    <xdr:sp macro="" textlink="">
      <xdr:nvSpPr>
        <xdr:cNvPr id="4" name="ArrowSheetNext">
          <a:hlinkClick xmlns:r="http://schemas.openxmlformats.org/officeDocument/2006/relationships" r:id="rId3" tooltip="Next Sheet"/>
          <a:extLst>
            <a:ext uri="{FF2B5EF4-FFF2-40B4-BE49-F238E27FC236}">
              <a16:creationId xmlns:a16="http://schemas.microsoft.com/office/drawing/2014/main" id="{995A3EBF-0CF4-43FA-BE6B-B6D69EF8008F}"/>
            </a:ext>
          </a:extLst>
        </xdr:cNvPr>
        <xdr:cNvSpPr/>
      </xdr:nvSpPr>
      <xdr:spPr>
        <a:xfrm>
          <a:off x="361950" y="770890"/>
          <a:ext cx="152400" cy="121920"/>
        </a:xfrm>
        <a:prstGeom prst="righ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4</xdr:col>
      <xdr:colOff>1243013</xdr:colOff>
      <xdr:row>6</xdr:row>
      <xdr:rowOff>134112</xdr:rowOff>
    </xdr:to>
    <xdr:pic>
      <xdr:nvPicPr>
        <xdr:cNvPr id="2" name="CompanyLogo">
          <a:extLst>
            <a:ext uri="{FF2B5EF4-FFF2-40B4-BE49-F238E27FC236}">
              <a16:creationId xmlns:a16="http://schemas.microsoft.com/office/drawing/2014/main" id="{3E6E81FC-8BC3-46B0-A70F-42D09352A0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0975" y="762000"/>
          <a:ext cx="1785938" cy="515112"/>
        </a:xfrm>
        <a:prstGeom prst="rect">
          <a:avLst/>
        </a:prstGeom>
      </xdr:spPr>
    </xdr:pic>
    <xdr:clientData/>
  </xdr:twoCellAnchor>
  <xdr:twoCellAnchor editAs="oneCell">
    <xdr:from>
      <xdr:col>1</xdr:col>
      <xdr:colOff>0</xdr:colOff>
      <xdr:row>15</xdr:row>
      <xdr:rowOff>88900</xdr:rowOff>
    </xdr:from>
    <xdr:to>
      <xdr:col>1</xdr:col>
      <xdr:colOff>152400</xdr:colOff>
      <xdr:row>16</xdr:row>
      <xdr:rowOff>12700</xdr:rowOff>
    </xdr:to>
    <xdr:sp macro="" textlink="">
      <xdr:nvSpPr>
        <xdr:cNvPr id="4" name="ArrowSheetPrevious">
          <a:hlinkClick xmlns:r="http://schemas.openxmlformats.org/officeDocument/2006/relationships" r:id="rId2" tooltip="Previous Sheet"/>
          <a:extLst>
            <a:ext uri="{FF2B5EF4-FFF2-40B4-BE49-F238E27FC236}">
              <a16:creationId xmlns:a16="http://schemas.microsoft.com/office/drawing/2014/main" id="{9721F70C-16E7-DDD3-F35A-6033EC5F9061}"/>
            </a:ext>
          </a:extLst>
        </xdr:cNvPr>
        <xdr:cNvSpPr/>
      </xdr:nvSpPr>
      <xdr:spPr>
        <a:xfrm>
          <a:off x="180975" y="3079750"/>
          <a:ext cx="152400" cy="114300"/>
        </a:xfrm>
        <a:prstGeom prst="lef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2</xdr:col>
      <xdr:colOff>0</xdr:colOff>
      <xdr:row>15</xdr:row>
      <xdr:rowOff>88900</xdr:rowOff>
    </xdr:from>
    <xdr:to>
      <xdr:col>2</xdr:col>
      <xdr:colOff>152400</xdr:colOff>
      <xdr:row>16</xdr:row>
      <xdr:rowOff>12700</xdr:rowOff>
    </xdr:to>
    <xdr:sp macro="" textlink="">
      <xdr:nvSpPr>
        <xdr:cNvPr id="5" name="ArrowSheetNext">
          <a:hlinkClick xmlns:r="http://schemas.openxmlformats.org/officeDocument/2006/relationships" r:id="rId3" tooltip="Next Sheet"/>
          <a:extLst>
            <a:ext uri="{FF2B5EF4-FFF2-40B4-BE49-F238E27FC236}">
              <a16:creationId xmlns:a16="http://schemas.microsoft.com/office/drawing/2014/main" id="{CA257AE6-DACA-2F39-EE13-85EEC5AB1DA5}"/>
            </a:ext>
          </a:extLst>
        </xdr:cNvPr>
        <xdr:cNvSpPr/>
      </xdr:nvSpPr>
      <xdr:spPr>
        <a:xfrm>
          <a:off x="361950" y="3079750"/>
          <a:ext cx="152400" cy="114300"/>
        </a:xfrm>
        <a:prstGeom prst="righ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3</xdr:row>
      <xdr:rowOff>52705</xdr:rowOff>
    </xdr:from>
    <xdr:to>
      <xdr:col>0</xdr:col>
      <xdr:colOff>114300</xdr:colOff>
      <xdr:row>4</xdr:row>
      <xdr:rowOff>22701</xdr:rowOff>
    </xdr:to>
    <xdr:sp macro="" textlink="">
      <xdr:nvSpPr>
        <xdr:cNvPr id="2" name="ArrowSheetTop">
          <a:hlinkClick xmlns:r="http://schemas.openxmlformats.org/officeDocument/2006/relationships" r:id="rId1" tooltip="Top of Sheet"/>
          <a:extLst>
            <a:ext uri="{FF2B5EF4-FFF2-40B4-BE49-F238E27FC236}">
              <a16:creationId xmlns:a16="http://schemas.microsoft.com/office/drawing/2014/main" id="{36CB513B-B179-DD4E-DC64-BBC3D8355401}"/>
            </a:ext>
          </a:extLst>
        </xdr:cNvPr>
        <xdr:cNvSpPr>
          <a:spLocks noChangeAspect="1"/>
        </xdr:cNvSpPr>
      </xdr:nvSpPr>
      <xdr:spPr>
        <a:xfrm>
          <a:off x="0" y="728980"/>
          <a:ext cx="114300" cy="152400"/>
        </a:xfrm>
        <a:prstGeom prst="up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1</xdr:col>
      <xdr:colOff>0</xdr:colOff>
      <xdr:row>3</xdr:row>
      <xdr:rowOff>90805</xdr:rowOff>
    </xdr:from>
    <xdr:to>
      <xdr:col>1</xdr:col>
      <xdr:colOff>152400</xdr:colOff>
      <xdr:row>4</xdr:row>
      <xdr:rowOff>18415</xdr:rowOff>
    </xdr:to>
    <xdr:sp macro="" textlink="">
      <xdr:nvSpPr>
        <xdr:cNvPr id="3" name="ArrowSheetPrevious">
          <a:hlinkClick xmlns:r="http://schemas.openxmlformats.org/officeDocument/2006/relationships" r:id="rId2" tooltip="Previous Sheet"/>
          <a:extLst>
            <a:ext uri="{FF2B5EF4-FFF2-40B4-BE49-F238E27FC236}">
              <a16:creationId xmlns:a16="http://schemas.microsoft.com/office/drawing/2014/main" id="{3189A40E-1B62-E4F3-D105-DD4F6D793119}"/>
            </a:ext>
          </a:extLst>
        </xdr:cNvPr>
        <xdr:cNvSpPr/>
      </xdr:nvSpPr>
      <xdr:spPr>
        <a:xfrm>
          <a:off x="190500" y="767080"/>
          <a:ext cx="152400" cy="114300"/>
        </a:xfrm>
        <a:prstGeom prst="lef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2</xdr:col>
      <xdr:colOff>0</xdr:colOff>
      <xdr:row>3</xdr:row>
      <xdr:rowOff>90805</xdr:rowOff>
    </xdr:from>
    <xdr:to>
      <xdr:col>2</xdr:col>
      <xdr:colOff>132398</xdr:colOff>
      <xdr:row>4</xdr:row>
      <xdr:rowOff>18415</xdr:rowOff>
    </xdr:to>
    <xdr:sp macro="" textlink="">
      <xdr:nvSpPr>
        <xdr:cNvPr id="4" name="ArrowSheetNext">
          <a:hlinkClick xmlns:r="http://schemas.openxmlformats.org/officeDocument/2006/relationships" r:id="rId3" tooltip="Next Sheet"/>
          <a:extLst>
            <a:ext uri="{FF2B5EF4-FFF2-40B4-BE49-F238E27FC236}">
              <a16:creationId xmlns:a16="http://schemas.microsoft.com/office/drawing/2014/main" id="{CBD70F59-DB60-E39D-93B1-BE3EAB7CAC67}"/>
            </a:ext>
          </a:extLst>
        </xdr:cNvPr>
        <xdr:cNvSpPr/>
      </xdr:nvSpPr>
      <xdr:spPr>
        <a:xfrm>
          <a:off x="381000" y="767080"/>
          <a:ext cx="152400" cy="114300"/>
        </a:xfrm>
        <a:prstGeom prst="righ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30</xdr:col>
      <xdr:colOff>31823</xdr:colOff>
      <xdr:row>29</xdr:row>
      <xdr:rowOff>27214</xdr:rowOff>
    </xdr:from>
    <xdr:to>
      <xdr:col>32</xdr:col>
      <xdr:colOff>68036</xdr:colOff>
      <xdr:row>41</xdr:row>
      <xdr:rowOff>0</xdr:rowOff>
    </xdr:to>
    <xdr:graphicFrame macro="">
      <xdr:nvGraphicFramePr>
        <xdr:cNvPr id="9" name="Chart 8">
          <a:extLst>
            <a:ext uri="{FF2B5EF4-FFF2-40B4-BE49-F238E27FC236}">
              <a16:creationId xmlns:a16="http://schemas.microsoft.com/office/drawing/2014/main" id="{CFC66378-7B28-EB83-17B8-F7AA2F71A19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30</xdr:col>
      <xdr:colOff>199530</xdr:colOff>
      <xdr:row>56</xdr:row>
      <xdr:rowOff>98948</xdr:rowOff>
    </xdr:from>
    <xdr:to>
      <xdr:col>33</xdr:col>
      <xdr:colOff>13832</xdr:colOff>
      <xdr:row>67</xdr:row>
      <xdr:rowOff>112557</xdr:rowOff>
    </xdr:to>
    <xdr:graphicFrame macro="">
      <xdr:nvGraphicFramePr>
        <xdr:cNvPr id="5" name="Chart 4">
          <a:extLst>
            <a:ext uri="{FF2B5EF4-FFF2-40B4-BE49-F238E27FC236}">
              <a16:creationId xmlns:a16="http://schemas.microsoft.com/office/drawing/2014/main" id="{64198EF7-9CCD-39C8-6D17-C7C2CD647AD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30</xdr:col>
      <xdr:colOff>974574</xdr:colOff>
      <xdr:row>106</xdr:row>
      <xdr:rowOff>54124</xdr:rowOff>
    </xdr:from>
    <xdr:to>
      <xdr:col>37</xdr:col>
      <xdr:colOff>289672</xdr:colOff>
      <xdr:row>121</xdr:row>
      <xdr:rowOff>0</xdr:rowOff>
    </xdr:to>
    <xdr:graphicFrame macro="">
      <xdr:nvGraphicFramePr>
        <xdr:cNvPr id="8" name="Chart 7">
          <a:extLst>
            <a:ext uri="{FF2B5EF4-FFF2-40B4-BE49-F238E27FC236}">
              <a16:creationId xmlns:a16="http://schemas.microsoft.com/office/drawing/2014/main" id="{76BEA24D-BFBC-8D14-1041-D712F300D18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30</xdr:col>
      <xdr:colOff>1038225</xdr:colOff>
      <xdr:row>164</xdr:row>
      <xdr:rowOff>103187</xdr:rowOff>
    </xdr:from>
    <xdr:to>
      <xdr:col>36</xdr:col>
      <xdr:colOff>533400</xdr:colOff>
      <xdr:row>177</xdr:row>
      <xdr:rowOff>31750</xdr:rowOff>
    </xdr:to>
    <xdr:graphicFrame macro="">
      <xdr:nvGraphicFramePr>
        <xdr:cNvPr id="6" name="Chart 6">
          <a:extLst>
            <a:ext uri="{FF2B5EF4-FFF2-40B4-BE49-F238E27FC236}">
              <a16:creationId xmlns:a16="http://schemas.microsoft.com/office/drawing/2014/main" id="{D96CEB62-5B59-F656-2412-1388C573885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3</xdr:row>
      <xdr:rowOff>52705</xdr:rowOff>
    </xdr:from>
    <xdr:to>
      <xdr:col>0</xdr:col>
      <xdr:colOff>114300</xdr:colOff>
      <xdr:row>4</xdr:row>
      <xdr:rowOff>16510</xdr:rowOff>
    </xdr:to>
    <xdr:sp macro="" textlink="">
      <xdr:nvSpPr>
        <xdr:cNvPr id="2" name="ArrowSheetTop">
          <a:hlinkClick xmlns:r="http://schemas.openxmlformats.org/officeDocument/2006/relationships" r:id="rId1" tooltip="Top of Sheet"/>
          <a:extLst>
            <a:ext uri="{FF2B5EF4-FFF2-40B4-BE49-F238E27FC236}">
              <a16:creationId xmlns:a16="http://schemas.microsoft.com/office/drawing/2014/main" id="{E762552D-C83C-BD7F-A539-1E69E85231DD}"/>
            </a:ext>
          </a:extLst>
        </xdr:cNvPr>
        <xdr:cNvSpPr>
          <a:spLocks noChangeAspect="1"/>
        </xdr:cNvSpPr>
      </xdr:nvSpPr>
      <xdr:spPr>
        <a:xfrm>
          <a:off x="0" y="728980"/>
          <a:ext cx="114300" cy="152400"/>
        </a:xfrm>
        <a:prstGeom prst="up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1</xdr:col>
      <xdr:colOff>0</xdr:colOff>
      <xdr:row>3</xdr:row>
      <xdr:rowOff>90805</xdr:rowOff>
    </xdr:from>
    <xdr:to>
      <xdr:col>1</xdr:col>
      <xdr:colOff>152400</xdr:colOff>
      <xdr:row>4</xdr:row>
      <xdr:rowOff>16510</xdr:rowOff>
    </xdr:to>
    <xdr:sp macro="" textlink="">
      <xdr:nvSpPr>
        <xdr:cNvPr id="3" name="ArrowSheetPrevious">
          <a:hlinkClick xmlns:r="http://schemas.openxmlformats.org/officeDocument/2006/relationships" r:id="rId2" tooltip="Previous Sheet"/>
          <a:extLst>
            <a:ext uri="{FF2B5EF4-FFF2-40B4-BE49-F238E27FC236}">
              <a16:creationId xmlns:a16="http://schemas.microsoft.com/office/drawing/2014/main" id="{52726915-0ED2-661F-FA0D-EB4AFC8ADDBD}"/>
            </a:ext>
          </a:extLst>
        </xdr:cNvPr>
        <xdr:cNvSpPr/>
      </xdr:nvSpPr>
      <xdr:spPr>
        <a:xfrm>
          <a:off x="190500" y="767080"/>
          <a:ext cx="152400" cy="114300"/>
        </a:xfrm>
        <a:prstGeom prst="lef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2</xdr:col>
      <xdr:colOff>0</xdr:colOff>
      <xdr:row>3</xdr:row>
      <xdr:rowOff>90805</xdr:rowOff>
    </xdr:from>
    <xdr:to>
      <xdr:col>2</xdr:col>
      <xdr:colOff>152400</xdr:colOff>
      <xdr:row>4</xdr:row>
      <xdr:rowOff>16510</xdr:rowOff>
    </xdr:to>
    <xdr:sp macro="" textlink="">
      <xdr:nvSpPr>
        <xdr:cNvPr id="4" name="ArrowSheetNext">
          <a:hlinkClick xmlns:r="http://schemas.openxmlformats.org/officeDocument/2006/relationships" r:id="rId3" tooltip="Next Sheet"/>
          <a:extLst>
            <a:ext uri="{FF2B5EF4-FFF2-40B4-BE49-F238E27FC236}">
              <a16:creationId xmlns:a16="http://schemas.microsoft.com/office/drawing/2014/main" id="{51F05F2E-6435-7A61-17BF-D8E659C8623B}"/>
            </a:ext>
          </a:extLst>
        </xdr:cNvPr>
        <xdr:cNvSpPr/>
      </xdr:nvSpPr>
      <xdr:spPr>
        <a:xfrm>
          <a:off x="381000" y="767080"/>
          <a:ext cx="152400" cy="114300"/>
        </a:xfrm>
        <a:prstGeom prst="righ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31</xdr:col>
      <xdr:colOff>1068479</xdr:colOff>
      <xdr:row>16</xdr:row>
      <xdr:rowOff>141081</xdr:rowOff>
    </xdr:from>
    <xdr:to>
      <xdr:col>37</xdr:col>
      <xdr:colOff>502695</xdr:colOff>
      <xdr:row>28</xdr:row>
      <xdr:rowOff>66113</xdr:rowOff>
    </xdr:to>
    <xdr:graphicFrame macro="">
      <xdr:nvGraphicFramePr>
        <xdr:cNvPr id="5" name="Chart 4">
          <a:extLst>
            <a:ext uri="{FF2B5EF4-FFF2-40B4-BE49-F238E27FC236}">
              <a16:creationId xmlns:a16="http://schemas.microsoft.com/office/drawing/2014/main" id="{42F43A3D-EFF8-2E0B-E316-2010E8AB59E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33</xdr:col>
      <xdr:colOff>227929</xdr:colOff>
      <xdr:row>42</xdr:row>
      <xdr:rowOff>199801</xdr:rowOff>
    </xdr:from>
    <xdr:to>
      <xdr:col>40</xdr:col>
      <xdr:colOff>577216</xdr:colOff>
      <xdr:row>69</xdr:row>
      <xdr:rowOff>138281</xdr:rowOff>
    </xdr:to>
    <xdr:graphicFrame macro="">
      <xdr:nvGraphicFramePr>
        <xdr:cNvPr id="6" name="Chart 5">
          <a:extLst>
            <a:ext uri="{FF2B5EF4-FFF2-40B4-BE49-F238E27FC236}">
              <a16:creationId xmlns:a16="http://schemas.microsoft.com/office/drawing/2014/main" id="{93AEB278-A2E8-47E0-B8AB-57218079BD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508187</xdr:colOff>
      <xdr:row>218</xdr:row>
      <xdr:rowOff>0</xdr:rowOff>
    </xdr:from>
    <xdr:to>
      <xdr:col>40</xdr:col>
      <xdr:colOff>220194</xdr:colOff>
      <xdr:row>226</xdr:row>
      <xdr:rowOff>191282</xdr:rowOff>
    </xdr:to>
    <xdr:graphicFrame macro="">
      <xdr:nvGraphicFramePr>
        <xdr:cNvPr id="12" name="Chart 11">
          <a:extLst>
            <a:ext uri="{FF2B5EF4-FFF2-40B4-BE49-F238E27FC236}">
              <a16:creationId xmlns:a16="http://schemas.microsoft.com/office/drawing/2014/main" id="{12506B9A-CFA6-3AB6-CC83-1C9E854D7AB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33</xdr:col>
      <xdr:colOff>388619</xdr:colOff>
      <xdr:row>80</xdr:row>
      <xdr:rowOff>101972</xdr:rowOff>
    </xdr:from>
    <xdr:to>
      <xdr:col>41</xdr:col>
      <xdr:colOff>100627</xdr:colOff>
      <xdr:row>104</xdr:row>
      <xdr:rowOff>30814</xdr:rowOff>
    </xdr:to>
    <xdr:graphicFrame macro="">
      <xdr:nvGraphicFramePr>
        <xdr:cNvPr id="16" name="Chart 15">
          <a:extLst>
            <a:ext uri="{FF2B5EF4-FFF2-40B4-BE49-F238E27FC236}">
              <a16:creationId xmlns:a16="http://schemas.microsoft.com/office/drawing/2014/main" id="{80EC7D25-3580-A364-5957-6E48A335E27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33</xdr:col>
      <xdr:colOff>597498</xdr:colOff>
      <xdr:row>114</xdr:row>
      <xdr:rowOff>48634</xdr:rowOff>
    </xdr:from>
    <xdr:to>
      <xdr:col>41</xdr:col>
      <xdr:colOff>322841</xdr:colOff>
      <xdr:row>129</xdr:row>
      <xdr:rowOff>25661</xdr:rowOff>
    </xdr:to>
    <xdr:graphicFrame macro="">
      <xdr:nvGraphicFramePr>
        <xdr:cNvPr id="19" name="Chart 18">
          <a:extLst>
            <a:ext uri="{FF2B5EF4-FFF2-40B4-BE49-F238E27FC236}">
              <a16:creationId xmlns:a16="http://schemas.microsoft.com/office/drawing/2014/main" id="{D528D2AD-88E0-4A7D-AF0C-DF9360EDED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3</xdr:row>
      <xdr:rowOff>50800</xdr:rowOff>
    </xdr:from>
    <xdr:to>
      <xdr:col>0</xdr:col>
      <xdr:colOff>114300</xdr:colOff>
      <xdr:row>4</xdr:row>
      <xdr:rowOff>3175</xdr:rowOff>
    </xdr:to>
    <xdr:sp macro="" textlink="">
      <xdr:nvSpPr>
        <xdr:cNvPr id="2" name="ArrowSheetTop">
          <a:hlinkClick xmlns:r="http://schemas.openxmlformats.org/officeDocument/2006/relationships" r:id="rId1" tooltip="Top of Sheet"/>
          <a:extLst>
            <a:ext uri="{FF2B5EF4-FFF2-40B4-BE49-F238E27FC236}">
              <a16:creationId xmlns:a16="http://schemas.microsoft.com/office/drawing/2014/main" id="{C33C84EB-A9C0-946B-5F82-0F30B333A3D8}"/>
            </a:ext>
          </a:extLst>
        </xdr:cNvPr>
        <xdr:cNvSpPr>
          <a:spLocks noChangeAspect="1"/>
        </xdr:cNvSpPr>
      </xdr:nvSpPr>
      <xdr:spPr>
        <a:xfrm>
          <a:off x="0" y="746125"/>
          <a:ext cx="114300" cy="152400"/>
        </a:xfrm>
        <a:prstGeom prst="up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1</xdr:col>
      <xdr:colOff>0</xdr:colOff>
      <xdr:row>3</xdr:row>
      <xdr:rowOff>88900</xdr:rowOff>
    </xdr:from>
    <xdr:to>
      <xdr:col>1</xdr:col>
      <xdr:colOff>152400</xdr:colOff>
      <xdr:row>4</xdr:row>
      <xdr:rowOff>3175</xdr:rowOff>
    </xdr:to>
    <xdr:sp macro="" textlink="">
      <xdr:nvSpPr>
        <xdr:cNvPr id="3" name="ArrowSheetPrevious">
          <a:hlinkClick xmlns:r="http://schemas.openxmlformats.org/officeDocument/2006/relationships" r:id="rId2" tooltip="Previous Sheet"/>
          <a:extLst>
            <a:ext uri="{FF2B5EF4-FFF2-40B4-BE49-F238E27FC236}">
              <a16:creationId xmlns:a16="http://schemas.microsoft.com/office/drawing/2014/main" id="{19F4B73E-4080-4B6B-4B15-3786FECEA7CF}"/>
            </a:ext>
          </a:extLst>
        </xdr:cNvPr>
        <xdr:cNvSpPr/>
      </xdr:nvSpPr>
      <xdr:spPr>
        <a:xfrm>
          <a:off x="180975" y="784225"/>
          <a:ext cx="152400" cy="114300"/>
        </a:xfrm>
        <a:prstGeom prst="lef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2</xdr:col>
      <xdr:colOff>0</xdr:colOff>
      <xdr:row>3</xdr:row>
      <xdr:rowOff>88900</xdr:rowOff>
    </xdr:from>
    <xdr:to>
      <xdr:col>2</xdr:col>
      <xdr:colOff>152400</xdr:colOff>
      <xdr:row>4</xdr:row>
      <xdr:rowOff>3175</xdr:rowOff>
    </xdr:to>
    <xdr:sp macro="" textlink="">
      <xdr:nvSpPr>
        <xdr:cNvPr id="4" name="ArrowSheetNext">
          <a:hlinkClick xmlns:r="http://schemas.openxmlformats.org/officeDocument/2006/relationships" r:id="rId3" tooltip="Next Sheet"/>
          <a:extLst>
            <a:ext uri="{FF2B5EF4-FFF2-40B4-BE49-F238E27FC236}">
              <a16:creationId xmlns:a16="http://schemas.microsoft.com/office/drawing/2014/main" id="{24A22DFA-7A90-CDB8-A097-C4A6D816EEF0}"/>
            </a:ext>
          </a:extLst>
        </xdr:cNvPr>
        <xdr:cNvSpPr/>
      </xdr:nvSpPr>
      <xdr:spPr>
        <a:xfrm>
          <a:off x="361950" y="784225"/>
          <a:ext cx="152400" cy="114300"/>
        </a:xfrm>
        <a:prstGeom prst="righ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31</xdr:col>
      <xdr:colOff>121920</xdr:colOff>
      <xdr:row>8</xdr:row>
      <xdr:rowOff>49530</xdr:rowOff>
    </xdr:from>
    <xdr:to>
      <xdr:col>40</xdr:col>
      <xdr:colOff>398145</xdr:colOff>
      <xdr:row>21</xdr:row>
      <xdr:rowOff>190500</xdr:rowOff>
    </xdr:to>
    <xdr:graphicFrame macro="">
      <xdr:nvGraphicFramePr>
        <xdr:cNvPr id="6" name="Chart 5">
          <a:extLst>
            <a:ext uri="{FF2B5EF4-FFF2-40B4-BE49-F238E27FC236}">
              <a16:creationId xmlns:a16="http://schemas.microsoft.com/office/drawing/2014/main" id="{967FD33F-E8FE-B386-4D6C-87D8DE3F03A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3</xdr:row>
      <xdr:rowOff>52705</xdr:rowOff>
    </xdr:from>
    <xdr:to>
      <xdr:col>0</xdr:col>
      <xdr:colOff>114300</xdr:colOff>
      <xdr:row>4</xdr:row>
      <xdr:rowOff>24130</xdr:rowOff>
    </xdr:to>
    <xdr:sp macro="" textlink="">
      <xdr:nvSpPr>
        <xdr:cNvPr id="2" name="ArrowSheetTop">
          <a:hlinkClick xmlns:r="http://schemas.openxmlformats.org/officeDocument/2006/relationships" r:id="rId1" tooltip="Top of Sheet"/>
          <a:extLst>
            <a:ext uri="{FF2B5EF4-FFF2-40B4-BE49-F238E27FC236}">
              <a16:creationId xmlns:a16="http://schemas.microsoft.com/office/drawing/2014/main" id="{F9FA8F28-E31C-9310-A632-66D632ADBE01}"/>
            </a:ext>
          </a:extLst>
        </xdr:cNvPr>
        <xdr:cNvSpPr>
          <a:spLocks noChangeAspect="1"/>
        </xdr:cNvSpPr>
      </xdr:nvSpPr>
      <xdr:spPr>
        <a:xfrm>
          <a:off x="0" y="728980"/>
          <a:ext cx="114300" cy="152400"/>
        </a:xfrm>
        <a:prstGeom prst="up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1</xdr:col>
      <xdr:colOff>0</xdr:colOff>
      <xdr:row>3</xdr:row>
      <xdr:rowOff>90805</xdr:rowOff>
    </xdr:from>
    <xdr:to>
      <xdr:col>1</xdr:col>
      <xdr:colOff>152400</xdr:colOff>
      <xdr:row>4</xdr:row>
      <xdr:rowOff>16510</xdr:rowOff>
    </xdr:to>
    <xdr:sp macro="" textlink="">
      <xdr:nvSpPr>
        <xdr:cNvPr id="3" name="ArrowSheetPrevious">
          <a:hlinkClick xmlns:r="http://schemas.openxmlformats.org/officeDocument/2006/relationships" r:id="rId2" tooltip="Previous Sheet"/>
          <a:extLst>
            <a:ext uri="{FF2B5EF4-FFF2-40B4-BE49-F238E27FC236}">
              <a16:creationId xmlns:a16="http://schemas.microsoft.com/office/drawing/2014/main" id="{85175695-270C-C08B-7634-17E41DB571FC}"/>
            </a:ext>
          </a:extLst>
        </xdr:cNvPr>
        <xdr:cNvSpPr/>
      </xdr:nvSpPr>
      <xdr:spPr>
        <a:xfrm>
          <a:off x="190500" y="767080"/>
          <a:ext cx="152400" cy="114300"/>
        </a:xfrm>
        <a:prstGeom prst="lef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2</xdr:col>
      <xdr:colOff>0</xdr:colOff>
      <xdr:row>3</xdr:row>
      <xdr:rowOff>90805</xdr:rowOff>
    </xdr:from>
    <xdr:to>
      <xdr:col>2</xdr:col>
      <xdr:colOff>144780</xdr:colOff>
      <xdr:row>4</xdr:row>
      <xdr:rowOff>16510</xdr:rowOff>
    </xdr:to>
    <xdr:sp macro="" textlink="">
      <xdr:nvSpPr>
        <xdr:cNvPr id="4" name="ArrowSheetNext">
          <a:hlinkClick xmlns:r="http://schemas.openxmlformats.org/officeDocument/2006/relationships" r:id="rId3" tooltip="Next Sheet"/>
          <a:extLst>
            <a:ext uri="{FF2B5EF4-FFF2-40B4-BE49-F238E27FC236}">
              <a16:creationId xmlns:a16="http://schemas.microsoft.com/office/drawing/2014/main" id="{6926AABA-0CA6-6843-5753-5662651D70C1}"/>
            </a:ext>
          </a:extLst>
        </xdr:cNvPr>
        <xdr:cNvSpPr/>
      </xdr:nvSpPr>
      <xdr:spPr>
        <a:xfrm>
          <a:off x="381000" y="767080"/>
          <a:ext cx="152400" cy="114300"/>
        </a:xfrm>
        <a:prstGeom prst="righ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3</xdr:row>
      <xdr:rowOff>52705</xdr:rowOff>
    </xdr:from>
    <xdr:to>
      <xdr:col>0</xdr:col>
      <xdr:colOff>114300</xdr:colOff>
      <xdr:row>4</xdr:row>
      <xdr:rowOff>20320</xdr:rowOff>
    </xdr:to>
    <xdr:sp macro="" textlink="">
      <xdr:nvSpPr>
        <xdr:cNvPr id="2" name="ArrowSheetTop">
          <a:hlinkClick xmlns:r="http://schemas.openxmlformats.org/officeDocument/2006/relationships" r:id="rId1" tooltip="Top of Sheet"/>
          <a:extLst>
            <a:ext uri="{FF2B5EF4-FFF2-40B4-BE49-F238E27FC236}">
              <a16:creationId xmlns:a16="http://schemas.microsoft.com/office/drawing/2014/main" id="{8C8FAE33-6B96-1755-6183-37BCD6F57104}"/>
            </a:ext>
          </a:extLst>
        </xdr:cNvPr>
        <xdr:cNvSpPr>
          <a:spLocks noChangeAspect="1"/>
        </xdr:cNvSpPr>
      </xdr:nvSpPr>
      <xdr:spPr>
        <a:xfrm>
          <a:off x="0" y="728980"/>
          <a:ext cx="114300" cy="152400"/>
        </a:xfrm>
        <a:prstGeom prst="up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3</xdr:row>
      <xdr:rowOff>52705</xdr:rowOff>
    </xdr:from>
    <xdr:to>
      <xdr:col>0</xdr:col>
      <xdr:colOff>114300</xdr:colOff>
      <xdr:row>4</xdr:row>
      <xdr:rowOff>20320</xdr:rowOff>
    </xdr:to>
    <xdr:sp macro="" textlink="">
      <xdr:nvSpPr>
        <xdr:cNvPr id="2" name="ArrowSheetTop">
          <a:hlinkClick xmlns:r="http://schemas.openxmlformats.org/officeDocument/2006/relationships" r:id="rId1" tooltip="Top of Sheet"/>
          <a:extLst>
            <a:ext uri="{FF2B5EF4-FFF2-40B4-BE49-F238E27FC236}">
              <a16:creationId xmlns:a16="http://schemas.microsoft.com/office/drawing/2014/main" id="{F1CF2781-ADBC-413D-803A-FDEE5B7C4665}"/>
            </a:ext>
          </a:extLst>
        </xdr:cNvPr>
        <xdr:cNvSpPr>
          <a:spLocks noChangeAspect="1"/>
        </xdr:cNvSpPr>
      </xdr:nvSpPr>
      <xdr:spPr>
        <a:xfrm>
          <a:off x="0" y="732790"/>
          <a:ext cx="114300" cy="163830"/>
        </a:xfrm>
        <a:prstGeom prst="up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1</xdr:col>
      <xdr:colOff>0</xdr:colOff>
      <xdr:row>3</xdr:row>
      <xdr:rowOff>90805</xdr:rowOff>
    </xdr:from>
    <xdr:to>
      <xdr:col>1</xdr:col>
      <xdr:colOff>152400</xdr:colOff>
      <xdr:row>4</xdr:row>
      <xdr:rowOff>20320</xdr:rowOff>
    </xdr:to>
    <xdr:sp macro="" textlink="">
      <xdr:nvSpPr>
        <xdr:cNvPr id="3" name="ArrowSheetPrevious">
          <a:hlinkClick xmlns:r="http://schemas.openxmlformats.org/officeDocument/2006/relationships" r:id="rId2" tooltip="Previous Sheet"/>
          <a:extLst>
            <a:ext uri="{FF2B5EF4-FFF2-40B4-BE49-F238E27FC236}">
              <a16:creationId xmlns:a16="http://schemas.microsoft.com/office/drawing/2014/main" id="{1C02E951-A9B4-4427-904C-A8CAE413F9A6}"/>
            </a:ext>
          </a:extLst>
        </xdr:cNvPr>
        <xdr:cNvSpPr/>
      </xdr:nvSpPr>
      <xdr:spPr>
        <a:xfrm>
          <a:off x="180975" y="770890"/>
          <a:ext cx="152400" cy="125730"/>
        </a:xfrm>
        <a:prstGeom prst="lef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2</xdr:col>
      <xdr:colOff>0</xdr:colOff>
      <xdr:row>3</xdr:row>
      <xdr:rowOff>90805</xdr:rowOff>
    </xdr:from>
    <xdr:to>
      <xdr:col>2</xdr:col>
      <xdr:colOff>152400</xdr:colOff>
      <xdr:row>4</xdr:row>
      <xdr:rowOff>20320</xdr:rowOff>
    </xdr:to>
    <xdr:sp macro="" textlink="">
      <xdr:nvSpPr>
        <xdr:cNvPr id="4" name="ArrowSheetNext">
          <a:hlinkClick xmlns:r="http://schemas.openxmlformats.org/officeDocument/2006/relationships" r:id="rId3" tooltip="Next Sheet"/>
          <a:extLst>
            <a:ext uri="{FF2B5EF4-FFF2-40B4-BE49-F238E27FC236}">
              <a16:creationId xmlns:a16="http://schemas.microsoft.com/office/drawing/2014/main" id="{3F24C666-BEE2-43BE-A0A1-9E92AFB583D9}"/>
            </a:ext>
          </a:extLst>
        </xdr:cNvPr>
        <xdr:cNvSpPr/>
      </xdr:nvSpPr>
      <xdr:spPr>
        <a:xfrm>
          <a:off x="361950" y="770890"/>
          <a:ext cx="152400" cy="125730"/>
        </a:xfrm>
        <a:prstGeom prst="righ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0</xdr:colOff>
      <xdr:row>4</xdr:row>
      <xdr:rowOff>7620</xdr:rowOff>
    </xdr:from>
    <xdr:to>
      <xdr:col>4</xdr:col>
      <xdr:colOff>1257300</xdr:colOff>
      <xdr:row>6</xdr:row>
      <xdr:rowOff>132207</xdr:rowOff>
    </xdr:to>
    <xdr:pic>
      <xdr:nvPicPr>
        <xdr:cNvPr id="2" name="CompanyLogo">
          <a:extLst>
            <a:ext uri="{FF2B5EF4-FFF2-40B4-BE49-F238E27FC236}">
              <a16:creationId xmlns:a16="http://schemas.microsoft.com/office/drawing/2014/main" id="{29F8A0D9-51AB-4542-A24E-DDA5D7F335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0" y="731520"/>
          <a:ext cx="1828800" cy="496062"/>
        </a:xfrm>
        <a:prstGeom prst="rect">
          <a:avLst/>
        </a:prstGeom>
      </xdr:spPr>
    </xdr:pic>
    <xdr:clientData/>
  </xdr:twoCellAnchor>
  <xdr:twoCellAnchor editAs="oneCell">
    <xdr:from>
      <xdr:col>1</xdr:col>
      <xdr:colOff>0</xdr:colOff>
      <xdr:row>15</xdr:row>
      <xdr:rowOff>123190</xdr:rowOff>
    </xdr:from>
    <xdr:to>
      <xdr:col>1</xdr:col>
      <xdr:colOff>152400</xdr:colOff>
      <xdr:row>16</xdr:row>
      <xdr:rowOff>45085</xdr:rowOff>
    </xdr:to>
    <xdr:sp macro="" textlink="">
      <xdr:nvSpPr>
        <xdr:cNvPr id="4" name="ArrowSheetPrevious">
          <a:hlinkClick xmlns:r="http://schemas.openxmlformats.org/officeDocument/2006/relationships" r:id="rId2" tooltip="Previous Sheet"/>
          <a:extLst>
            <a:ext uri="{FF2B5EF4-FFF2-40B4-BE49-F238E27FC236}">
              <a16:creationId xmlns:a16="http://schemas.microsoft.com/office/drawing/2014/main" id="{031FEA3D-FA54-9257-443D-EA2EA43F1759}"/>
            </a:ext>
          </a:extLst>
        </xdr:cNvPr>
        <xdr:cNvSpPr/>
      </xdr:nvSpPr>
      <xdr:spPr>
        <a:xfrm>
          <a:off x="190500" y="2990215"/>
          <a:ext cx="152400" cy="100965"/>
        </a:xfrm>
        <a:prstGeom prst="lef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2</xdr:col>
      <xdr:colOff>0</xdr:colOff>
      <xdr:row>15</xdr:row>
      <xdr:rowOff>123190</xdr:rowOff>
    </xdr:from>
    <xdr:to>
      <xdr:col>2</xdr:col>
      <xdr:colOff>152400</xdr:colOff>
      <xdr:row>16</xdr:row>
      <xdr:rowOff>45085</xdr:rowOff>
    </xdr:to>
    <xdr:sp macro="" textlink="">
      <xdr:nvSpPr>
        <xdr:cNvPr id="5" name="ArrowSheetNext">
          <a:hlinkClick xmlns:r="http://schemas.openxmlformats.org/officeDocument/2006/relationships" r:id="rId3" tooltip="Next Sheet"/>
          <a:extLst>
            <a:ext uri="{FF2B5EF4-FFF2-40B4-BE49-F238E27FC236}">
              <a16:creationId xmlns:a16="http://schemas.microsoft.com/office/drawing/2014/main" id="{AA972577-40C3-5DDD-AC0E-C87D0A726E3B}"/>
            </a:ext>
          </a:extLst>
        </xdr:cNvPr>
        <xdr:cNvSpPr/>
      </xdr:nvSpPr>
      <xdr:spPr>
        <a:xfrm>
          <a:off x="381000" y="2990215"/>
          <a:ext cx="152400" cy="100965"/>
        </a:xfrm>
        <a:prstGeom prst="righ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3</xdr:row>
      <xdr:rowOff>52705</xdr:rowOff>
    </xdr:from>
    <xdr:to>
      <xdr:col>0</xdr:col>
      <xdr:colOff>114300</xdr:colOff>
      <xdr:row>4</xdr:row>
      <xdr:rowOff>16510</xdr:rowOff>
    </xdr:to>
    <xdr:sp macro="" textlink="">
      <xdr:nvSpPr>
        <xdr:cNvPr id="2" name="ArrowSheetTop">
          <a:hlinkClick xmlns:r="http://schemas.openxmlformats.org/officeDocument/2006/relationships" r:id="rId1" tooltip="Top of Sheet"/>
          <a:extLst>
            <a:ext uri="{FF2B5EF4-FFF2-40B4-BE49-F238E27FC236}">
              <a16:creationId xmlns:a16="http://schemas.microsoft.com/office/drawing/2014/main" id="{3B829C81-8E1E-0286-5EB2-995AF993D10C}"/>
            </a:ext>
          </a:extLst>
        </xdr:cNvPr>
        <xdr:cNvSpPr>
          <a:spLocks noChangeAspect="1"/>
        </xdr:cNvSpPr>
      </xdr:nvSpPr>
      <xdr:spPr>
        <a:xfrm>
          <a:off x="0" y="728980"/>
          <a:ext cx="114300" cy="152400"/>
        </a:xfrm>
        <a:prstGeom prst="up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1</xdr:col>
      <xdr:colOff>0</xdr:colOff>
      <xdr:row>3</xdr:row>
      <xdr:rowOff>90805</xdr:rowOff>
    </xdr:from>
    <xdr:to>
      <xdr:col>1</xdr:col>
      <xdr:colOff>152400</xdr:colOff>
      <xdr:row>4</xdr:row>
      <xdr:rowOff>16510</xdr:rowOff>
    </xdr:to>
    <xdr:sp macro="" textlink="">
      <xdr:nvSpPr>
        <xdr:cNvPr id="3" name="ArrowSheetPrevious">
          <a:hlinkClick xmlns:r="http://schemas.openxmlformats.org/officeDocument/2006/relationships" r:id="rId2" tooltip="Previous Sheet"/>
          <a:extLst>
            <a:ext uri="{FF2B5EF4-FFF2-40B4-BE49-F238E27FC236}">
              <a16:creationId xmlns:a16="http://schemas.microsoft.com/office/drawing/2014/main" id="{2182AE12-38BA-72A2-EF54-79E20A113792}"/>
            </a:ext>
          </a:extLst>
        </xdr:cNvPr>
        <xdr:cNvSpPr/>
      </xdr:nvSpPr>
      <xdr:spPr>
        <a:xfrm>
          <a:off x="190500" y="767080"/>
          <a:ext cx="152400" cy="114300"/>
        </a:xfrm>
        <a:prstGeom prst="lef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2</xdr:col>
      <xdr:colOff>0</xdr:colOff>
      <xdr:row>3</xdr:row>
      <xdr:rowOff>90805</xdr:rowOff>
    </xdr:from>
    <xdr:to>
      <xdr:col>2</xdr:col>
      <xdr:colOff>152400</xdr:colOff>
      <xdr:row>4</xdr:row>
      <xdr:rowOff>16510</xdr:rowOff>
    </xdr:to>
    <xdr:sp macro="" textlink="">
      <xdr:nvSpPr>
        <xdr:cNvPr id="4" name="ArrowSheetNext">
          <a:hlinkClick xmlns:r="http://schemas.openxmlformats.org/officeDocument/2006/relationships" r:id="rId3" tooltip="Next Sheet"/>
          <a:extLst>
            <a:ext uri="{FF2B5EF4-FFF2-40B4-BE49-F238E27FC236}">
              <a16:creationId xmlns:a16="http://schemas.microsoft.com/office/drawing/2014/main" id="{A5FCE12C-D8EB-BD47-74B4-13327CAFDF45}"/>
            </a:ext>
          </a:extLst>
        </xdr:cNvPr>
        <xdr:cNvSpPr/>
      </xdr:nvSpPr>
      <xdr:spPr>
        <a:xfrm>
          <a:off x="381000" y="767080"/>
          <a:ext cx="152400" cy="114300"/>
        </a:xfrm>
        <a:prstGeom prst="righ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3</xdr:row>
      <xdr:rowOff>50800</xdr:rowOff>
    </xdr:from>
    <xdr:to>
      <xdr:col>0</xdr:col>
      <xdr:colOff>114300</xdr:colOff>
      <xdr:row>4</xdr:row>
      <xdr:rowOff>3175</xdr:rowOff>
    </xdr:to>
    <xdr:sp macro="" textlink="">
      <xdr:nvSpPr>
        <xdr:cNvPr id="2" name="ArrowSheetTop">
          <a:hlinkClick xmlns:r="http://schemas.openxmlformats.org/officeDocument/2006/relationships" r:id="rId1" tooltip="Top of Sheet"/>
          <a:extLst>
            <a:ext uri="{FF2B5EF4-FFF2-40B4-BE49-F238E27FC236}">
              <a16:creationId xmlns:a16="http://schemas.microsoft.com/office/drawing/2014/main" id="{11E1D0FA-7AEC-6950-D885-EA15EE6C7ED4}"/>
            </a:ext>
          </a:extLst>
        </xdr:cNvPr>
        <xdr:cNvSpPr>
          <a:spLocks noChangeAspect="1"/>
        </xdr:cNvSpPr>
      </xdr:nvSpPr>
      <xdr:spPr>
        <a:xfrm>
          <a:off x="0" y="746125"/>
          <a:ext cx="114300" cy="152400"/>
        </a:xfrm>
        <a:prstGeom prst="up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1</xdr:col>
      <xdr:colOff>0</xdr:colOff>
      <xdr:row>3</xdr:row>
      <xdr:rowOff>88900</xdr:rowOff>
    </xdr:from>
    <xdr:to>
      <xdr:col>1</xdr:col>
      <xdr:colOff>152400</xdr:colOff>
      <xdr:row>4</xdr:row>
      <xdr:rowOff>3175</xdr:rowOff>
    </xdr:to>
    <xdr:sp macro="" textlink="">
      <xdr:nvSpPr>
        <xdr:cNvPr id="3" name="ArrowSheetPrevious">
          <a:hlinkClick xmlns:r="http://schemas.openxmlformats.org/officeDocument/2006/relationships" r:id="rId2" tooltip="Previous Sheet"/>
          <a:extLst>
            <a:ext uri="{FF2B5EF4-FFF2-40B4-BE49-F238E27FC236}">
              <a16:creationId xmlns:a16="http://schemas.microsoft.com/office/drawing/2014/main" id="{B35AE84C-6FBD-695C-F9D7-3B621B33D0BF}"/>
            </a:ext>
          </a:extLst>
        </xdr:cNvPr>
        <xdr:cNvSpPr/>
      </xdr:nvSpPr>
      <xdr:spPr>
        <a:xfrm>
          <a:off x="180975" y="784225"/>
          <a:ext cx="152400" cy="114300"/>
        </a:xfrm>
        <a:prstGeom prst="lef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2</xdr:col>
      <xdr:colOff>0</xdr:colOff>
      <xdr:row>3</xdr:row>
      <xdr:rowOff>88900</xdr:rowOff>
    </xdr:from>
    <xdr:to>
      <xdr:col>2</xdr:col>
      <xdr:colOff>152400</xdr:colOff>
      <xdr:row>4</xdr:row>
      <xdr:rowOff>3175</xdr:rowOff>
    </xdr:to>
    <xdr:sp macro="" textlink="">
      <xdr:nvSpPr>
        <xdr:cNvPr id="4" name="ArrowSheetNext">
          <a:hlinkClick xmlns:r="http://schemas.openxmlformats.org/officeDocument/2006/relationships" r:id="rId3" tooltip="Next Sheet"/>
          <a:extLst>
            <a:ext uri="{FF2B5EF4-FFF2-40B4-BE49-F238E27FC236}">
              <a16:creationId xmlns:a16="http://schemas.microsoft.com/office/drawing/2014/main" id="{A8C52E1C-6D67-23E1-752D-CBEE2A5753AD}"/>
            </a:ext>
          </a:extLst>
        </xdr:cNvPr>
        <xdr:cNvSpPr/>
      </xdr:nvSpPr>
      <xdr:spPr>
        <a:xfrm>
          <a:off x="361950" y="784225"/>
          <a:ext cx="152400" cy="114300"/>
        </a:xfrm>
        <a:prstGeom prst="righ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8</xdr:col>
      <xdr:colOff>109430</xdr:colOff>
      <xdr:row>8</xdr:row>
      <xdr:rowOff>12165</xdr:rowOff>
    </xdr:from>
    <xdr:to>
      <xdr:col>16</xdr:col>
      <xdr:colOff>97048</xdr:colOff>
      <xdr:row>22</xdr:row>
      <xdr:rowOff>13730</xdr:rowOff>
    </xdr:to>
    <xdr:graphicFrame macro="">
      <xdr:nvGraphicFramePr>
        <xdr:cNvPr id="33" name="Chart 5">
          <a:extLst>
            <a:ext uri="{FF2B5EF4-FFF2-40B4-BE49-F238E27FC236}">
              <a16:creationId xmlns:a16="http://schemas.microsoft.com/office/drawing/2014/main" id="{70C42E54-ADDA-C71E-4840-745928A6FAF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122774</xdr:colOff>
      <xdr:row>8</xdr:row>
      <xdr:rowOff>18000</xdr:rowOff>
    </xdr:from>
    <xdr:to>
      <xdr:col>21</xdr:col>
      <xdr:colOff>260427</xdr:colOff>
      <xdr:row>22</xdr:row>
      <xdr:rowOff>19565</xdr:rowOff>
    </xdr:to>
    <xdr:graphicFrame macro="">
      <xdr:nvGraphicFramePr>
        <xdr:cNvPr id="13" name="Chart 5">
          <a:extLst>
            <a:ext uri="{FF2B5EF4-FFF2-40B4-BE49-F238E27FC236}">
              <a16:creationId xmlns:a16="http://schemas.microsoft.com/office/drawing/2014/main" id="{E1218451-5266-4A3A-BC4C-9F9C75357D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21</xdr:col>
      <xdr:colOff>285553</xdr:colOff>
      <xdr:row>8</xdr:row>
      <xdr:rowOff>20955</xdr:rowOff>
    </xdr:from>
    <xdr:to>
      <xdr:col>26</xdr:col>
      <xdr:colOff>407967</xdr:colOff>
      <xdr:row>22</xdr:row>
      <xdr:rowOff>22520</xdr:rowOff>
    </xdr:to>
    <xdr:graphicFrame macro="">
      <xdr:nvGraphicFramePr>
        <xdr:cNvPr id="36" name="Chart 8">
          <a:extLst>
            <a:ext uri="{FF2B5EF4-FFF2-40B4-BE49-F238E27FC236}">
              <a16:creationId xmlns:a16="http://schemas.microsoft.com/office/drawing/2014/main" id="{B06E8A34-1408-4B19-AB9E-02469F53C2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26</xdr:col>
      <xdr:colOff>445939</xdr:colOff>
      <xdr:row>8</xdr:row>
      <xdr:rowOff>22127</xdr:rowOff>
    </xdr:from>
    <xdr:to>
      <xdr:col>35</xdr:col>
      <xdr:colOff>344425</xdr:colOff>
      <xdr:row>22</xdr:row>
      <xdr:rowOff>23691</xdr:rowOff>
    </xdr:to>
    <xdr:graphicFrame macro="">
      <xdr:nvGraphicFramePr>
        <xdr:cNvPr id="34" name="Chart 10">
          <a:extLst>
            <a:ext uri="{FF2B5EF4-FFF2-40B4-BE49-F238E27FC236}">
              <a16:creationId xmlns:a16="http://schemas.microsoft.com/office/drawing/2014/main" id="{4A537AA9-5001-4BD9-BE10-5AB88E39D2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3</xdr:row>
      <xdr:rowOff>52705</xdr:rowOff>
    </xdr:from>
    <xdr:to>
      <xdr:col>0</xdr:col>
      <xdr:colOff>114300</xdr:colOff>
      <xdr:row>4</xdr:row>
      <xdr:rowOff>20320</xdr:rowOff>
    </xdr:to>
    <xdr:sp macro="" textlink="">
      <xdr:nvSpPr>
        <xdr:cNvPr id="2" name="ArrowSheetTop">
          <a:hlinkClick xmlns:r="http://schemas.openxmlformats.org/officeDocument/2006/relationships" r:id="rId1" tooltip="Top of Sheet"/>
          <a:extLst>
            <a:ext uri="{FF2B5EF4-FFF2-40B4-BE49-F238E27FC236}">
              <a16:creationId xmlns:a16="http://schemas.microsoft.com/office/drawing/2014/main" id="{8C63D8B7-E661-A1B0-284E-F4BC300DC3CD}"/>
            </a:ext>
          </a:extLst>
        </xdr:cNvPr>
        <xdr:cNvSpPr>
          <a:spLocks noChangeAspect="1"/>
        </xdr:cNvSpPr>
      </xdr:nvSpPr>
      <xdr:spPr>
        <a:xfrm>
          <a:off x="0" y="728980"/>
          <a:ext cx="114300" cy="152400"/>
        </a:xfrm>
        <a:prstGeom prst="up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1</xdr:col>
      <xdr:colOff>0</xdr:colOff>
      <xdr:row>3</xdr:row>
      <xdr:rowOff>90805</xdr:rowOff>
    </xdr:from>
    <xdr:to>
      <xdr:col>1</xdr:col>
      <xdr:colOff>152400</xdr:colOff>
      <xdr:row>4</xdr:row>
      <xdr:rowOff>20320</xdr:rowOff>
    </xdr:to>
    <xdr:sp macro="" textlink="">
      <xdr:nvSpPr>
        <xdr:cNvPr id="3" name="ArrowSheetPrevious">
          <a:hlinkClick xmlns:r="http://schemas.openxmlformats.org/officeDocument/2006/relationships" r:id="rId2" tooltip="Previous Sheet"/>
          <a:extLst>
            <a:ext uri="{FF2B5EF4-FFF2-40B4-BE49-F238E27FC236}">
              <a16:creationId xmlns:a16="http://schemas.microsoft.com/office/drawing/2014/main" id="{7C904A2F-AE8A-2057-41A6-539E96577148}"/>
            </a:ext>
          </a:extLst>
        </xdr:cNvPr>
        <xdr:cNvSpPr/>
      </xdr:nvSpPr>
      <xdr:spPr>
        <a:xfrm>
          <a:off x="190500" y="767080"/>
          <a:ext cx="152400" cy="114300"/>
        </a:xfrm>
        <a:prstGeom prst="lef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2</xdr:col>
      <xdr:colOff>0</xdr:colOff>
      <xdr:row>3</xdr:row>
      <xdr:rowOff>90805</xdr:rowOff>
    </xdr:from>
    <xdr:to>
      <xdr:col>2</xdr:col>
      <xdr:colOff>152400</xdr:colOff>
      <xdr:row>4</xdr:row>
      <xdr:rowOff>20320</xdr:rowOff>
    </xdr:to>
    <xdr:sp macro="" textlink="">
      <xdr:nvSpPr>
        <xdr:cNvPr id="4" name="ArrowSheetNext">
          <a:hlinkClick xmlns:r="http://schemas.openxmlformats.org/officeDocument/2006/relationships" r:id="rId3" tooltip="Next Sheet"/>
          <a:extLst>
            <a:ext uri="{FF2B5EF4-FFF2-40B4-BE49-F238E27FC236}">
              <a16:creationId xmlns:a16="http://schemas.microsoft.com/office/drawing/2014/main" id="{FB2413EA-0DBA-04FC-87C3-CAC62154CC88}"/>
            </a:ext>
          </a:extLst>
        </xdr:cNvPr>
        <xdr:cNvSpPr/>
      </xdr:nvSpPr>
      <xdr:spPr>
        <a:xfrm>
          <a:off x="381000" y="767080"/>
          <a:ext cx="152400" cy="114300"/>
        </a:xfrm>
        <a:prstGeom prst="righ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4</xdr:row>
      <xdr:rowOff>7620</xdr:rowOff>
    </xdr:from>
    <xdr:to>
      <xdr:col>4</xdr:col>
      <xdr:colOff>1236821</xdr:colOff>
      <xdr:row>6</xdr:row>
      <xdr:rowOff>135065</xdr:rowOff>
    </xdr:to>
    <xdr:pic>
      <xdr:nvPicPr>
        <xdr:cNvPr id="2" name="CompanyLogo">
          <a:extLst>
            <a:ext uri="{FF2B5EF4-FFF2-40B4-BE49-F238E27FC236}">
              <a16:creationId xmlns:a16="http://schemas.microsoft.com/office/drawing/2014/main" id="{249D500B-85EE-453A-B24E-B08EF34416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0" y="731520"/>
          <a:ext cx="1817846" cy="493205"/>
        </a:xfrm>
        <a:prstGeom prst="rect">
          <a:avLst/>
        </a:prstGeom>
      </xdr:spPr>
    </xdr:pic>
    <xdr:clientData/>
  </xdr:twoCellAnchor>
  <xdr:twoCellAnchor editAs="oneCell">
    <xdr:from>
      <xdr:col>1</xdr:col>
      <xdr:colOff>0</xdr:colOff>
      <xdr:row>15</xdr:row>
      <xdr:rowOff>123190</xdr:rowOff>
    </xdr:from>
    <xdr:to>
      <xdr:col>1</xdr:col>
      <xdr:colOff>152400</xdr:colOff>
      <xdr:row>16</xdr:row>
      <xdr:rowOff>45085</xdr:rowOff>
    </xdr:to>
    <xdr:sp macro="" textlink="">
      <xdr:nvSpPr>
        <xdr:cNvPr id="4" name="ArrowSheetPrevious">
          <a:hlinkClick xmlns:r="http://schemas.openxmlformats.org/officeDocument/2006/relationships" r:id="rId2" tooltip="Previous Sheet"/>
          <a:extLst>
            <a:ext uri="{FF2B5EF4-FFF2-40B4-BE49-F238E27FC236}">
              <a16:creationId xmlns:a16="http://schemas.microsoft.com/office/drawing/2014/main" id="{8FDAE7F3-2C20-7720-DD23-EBBB972B3D76}"/>
            </a:ext>
          </a:extLst>
        </xdr:cNvPr>
        <xdr:cNvSpPr/>
      </xdr:nvSpPr>
      <xdr:spPr>
        <a:xfrm>
          <a:off x="190500" y="2990215"/>
          <a:ext cx="152400" cy="100965"/>
        </a:xfrm>
        <a:prstGeom prst="lef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2</xdr:col>
      <xdr:colOff>0</xdr:colOff>
      <xdr:row>15</xdr:row>
      <xdr:rowOff>123190</xdr:rowOff>
    </xdr:from>
    <xdr:to>
      <xdr:col>2</xdr:col>
      <xdr:colOff>152400</xdr:colOff>
      <xdr:row>16</xdr:row>
      <xdr:rowOff>45085</xdr:rowOff>
    </xdr:to>
    <xdr:sp macro="" textlink="">
      <xdr:nvSpPr>
        <xdr:cNvPr id="5" name="ArrowSheetNext">
          <a:hlinkClick xmlns:r="http://schemas.openxmlformats.org/officeDocument/2006/relationships" r:id="rId3" tooltip="Next Sheet"/>
          <a:extLst>
            <a:ext uri="{FF2B5EF4-FFF2-40B4-BE49-F238E27FC236}">
              <a16:creationId xmlns:a16="http://schemas.microsoft.com/office/drawing/2014/main" id="{415AB9DD-9EFC-1191-7A47-2402913E91B6}"/>
            </a:ext>
          </a:extLst>
        </xdr:cNvPr>
        <xdr:cNvSpPr/>
      </xdr:nvSpPr>
      <xdr:spPr>
        <a:xfrm>
          <a:off x="381000" y="2990215"/>
          <a:ext cx="152400" cy="100965"/>
        </a:xfrm>
        <a:prstGeom prst="righ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3</xdr:row>
      <xdr:rowOff>52705</xdr:rowOff>
    </xdr:from>
    <xdr:to>
      <xdr:col>0</xdr:col>
      <xdr:colOff>114300</xdr:colOff>
      <xdr:row>4</xdr:row>
      <xdr:rowOff>24130</xdr:rowOff>
    </xdr:to>
    <xdr:sp macro="" textlink="">
      <xdr:nvSpPr>
        <xdr:cNvPr id="2" name="ArrowSheetTop">
          <a:hlinkClick xmlns:r="http://schemas.openxmlformats.org/officeDocument/2006/relationships" r:id="rId1" tooltip="Top of Sheet"/>
          <a:extLst>
            <a:ext uri="{FF2B5EF4-FFF2-40B4-BE49-F238E27FC236}">
              <a16:creationId xmlns:a16="http://schemas.microsoft.com/office/drawing/2014/main" id="{71ADBE89-C02E-491E-35B3-C3E4B3BDC217}"/>
            </a:ext>
          </a:extLst>
        </xdr:cNvPr>
        <xdr:cNvSpPr>
          <a:spLocks noChangeAspect="1"/>
        </xdr:cNvSpPr>
      </xdr:nvSpPr>
      <xdr:spPr>
        <a:xfrm>
          <a:off x="0" y="728980"/>
          <a:ext cx="114300" cy="152400"/>
        </a:xfrm>
        <a:prstGeom prst="up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1</xdr:col>
      <xdr:colOff>0</xdr:colOff>
      <xdr:row>3</xdr:row>
      <xdr:rowOff>90805</xdr:rowOff>
    </xdr:from>
    <xdr:to>
      <xdr:col>1</xdr:col>
      <xdr:colOff>152400</xdr:colOff>
      <xdr:row>4</xdr:row>
      <xdr:rowOff>24130</xdr:rowOff>
    </xdr:to>
    <xdr:sp macro="" textlink="">
      <xdr:nvSpPr>
        <xdr:cNvPr id="3" name="ArrowSheetPrevious">
          <a:hlinkClick xmlns:r="http://schemas.openxmlformats.org/officeDocument/2006/relationships" r:id="rId2" tooltip="Previous Sheet"/>
          <a:extLst>
            <a:ext uri="{FF2B5EF4-FFF2-40B4-BE49-F238E27FC236}">
              <a16:creationId xmlns:a16="http://schemas.microsoft.com/office/drawing/2014/main" id="{86CA67E7-014C-DFC8-8254-6EF2F84E64E0}"/>
            </a:ext>
          </a:extLst>
        </xdr:cNvPr>
        <xdr:cNvSpPr/>
      </xdr:nvSpPr>
      <xdr:spPr>
        <a:xfrm>
          <a:off x="190500" y="767080"/>
          <a:ext cx="152400" cy="114300"/>
        </a:xfrm>
        <a:prstGeom prst="lef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2</xdr:col>
      <xdr:colOff>0</xdr:colOff>
      <xdr:row>3</xdr:row>
      <xdr:rowOff>90805</xdr:rowOff>
    </xdr:from>
    <xdr:to>
      <xdr:col>2</xdr:col>
      <xdr:colOff>152400</xdr:colOff>
      <xdr:row>4</xdr:row>
      <xdr:rowOff>24130</xdr:rowOff>
    </xdr:to>
    <xdr:sp macro="" textlink="">
      <xdr:nvSpPr>
        <xdr:cNvPr id="4" name="ArrowSheetNext">
          <a:hlinkClick xmlns:r="http://schemas.openxmlformats.org/officeDocument/2006/relationships" r:id="rId3" tooltip="Next Sheet"/>
          <a:extLst>
            <a:ext uri="{FF2B5EF4-FFF2-40B4-BE49-F238E27FC236}">
              <a16:creationId xmlns:a16="http://schemas.microsoft.com/office/drawing/2014/main" id="{5C22C10D-79F0-55B6-1FCE-E649C8BEE5CD}"/>
            </a:ext>
          </a:extLst>
        </xdr:cNvPr>
        <xdr:cNvSpPr/>
      </xdr:nvSpPr>
      <xdr:spPr>
        <a:xfrm>
          <a:off x="381000" y="767080"/>
          <a:ext cx="152400" cy="114300"/>
        </a:xfrm>
        <a:prstGeom prst="righ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3</xdr:row>
      <xdr:rowOff>52705</xdr:rowOff>
    </xdr:from>
    <xdr:to>
      <xdr:col>0</xdr:col>
      <xdr:colOff>114300</xdr:colOff>
      <xdr:row>4</xdr:row>
      <xdr:rowOff>21553</xdr:rowOff>
    </xdr:to>
    <xdr:sp macro="" textlink="">
      <xdr:nvSpPr>
        <xdr:cNvPr id="2" name="ArrowSheetTop">
          <a:hlinkClick xmlns:r="http://schemas.openxmlformats.org/officeDocument/2006/relationships" r:id="rId1" tooltip="Top of Sheet"/>
          <a:extLst>
            <a:ext uri="{FF2B5EF4-FFF2-40B4-BE49-F238E27FC236}">
              <a16:creationId xmlns:a16="http://schemas.microsoft.com/office/drawing/2014/main" id="{181AD194-5CA4-5431-A3B8-A952DA303C9B}"/>
            </a:ext>
          </a:extLst>
        </xdr:cNvPr>
        <xdr:cNvSpPr>
          <a:spLocks noChangeAspect="1"/>
        </xdr:cNvSpPr>
      </xdr:nvSpPr>
      <xdr:spPr>
        <a:xfrm>
          <a:off x="0" y="728980"/>
          <a:ext cx="114300" cy="152400"/>
        </a:xfrm>
        <a:prstGeom prst="up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1</xdr:col>
      <xdr:colOff>0</xdr:colOff>
      <xdr:row>3</xdr:row>
      <xdr:rowOff>90805</xdr:rowOff>
    </xdr:from>
    <xdr:to>
      <xdr:col>1</xdr:col>
      <xdr:colOff>152400</xdr:colOff>
      <xdr:row>4</xdr:row>
      <xdr:rowOff>18415</xdr:rowOff>
    </xdr:to>
    <xdr:sp macro="" textlink="">
      <xdr:nvSpPr>
        <xdr:cNvPr id="3" name="ArrowSheetPrevious">
          <a:hlinkClick xmlns:r="http://schemas.openxmlformats.org/officeDocument/2006/relationships" r:id="rId2" tooltip="Previous Sheet"/>
          <a:extLst>
            <a:ext uri="{FF2B5EF4-FFF2-40B4-BE49-F238E27FC236}">
              <a16:creationId xmlns:a16="http://schemas.microsoft.com/office/drawing/2014/main" id="{80A8E96C-6FA0-85BF-7301-0B68679FBAFB}"/>
            </a:ext>
          </a:extLst>
        </xdr:cNvPr>
        <xdr:cNvSpPr/>
      </xdr:nvSpPr>
      <xdr:spPr>
        <a:xfrm>
          <a:off x="190500" y="767080"/>
          <a:ext cx="152400" cy="114300"/>
        </a:xfrm>
        <a:prstGeom prst="lef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2</xdr:col>
      <xdr:colOff>0</xdr:colOff>
      <xdr:row>3</xdr:row>
      <xdr:rowOff>90805</xdr:rowOff>
    </xdr:from>
    <xdr:to>
      <xdr:col>2</xdr:col>
      <xdr:colOff>152400</xdr:colOff>
      <xdr:row>4</xdr:row>
      <xdr:rowOff>18415</xdr:rowOff>
    </xdr:to>
    <xdr:sp macro="" textlink="">
      <xdr:nvSpPr>
        <xdr:cNvPr id="4" name="ArrowSheetNext">
          <a:hlinkClick xmlns:r="http://schemas.openxmlformats.org/officeDocument/2006/relationships" r:id="rId3" tooltip="Next Sheet"/>
          <a:extLst>
            <a:ext uri="{FF2B5EF4-FFF2-40B4-BE49-F238E27FC236}">
              <a16:creationId xmlns:a16="http://schemas.microsoft.com/office/drawing/2014/main" id="{E4F2AE7D-17F2-C014-4A04-3B4CEF04A9CE}"/>
            </a:ext>
          </a:extLst>
        </xdr:cNvPr>
        <xdr:cNvSpPr/>
      </xdr:nvSpPr>
      <xdr:spPr>
        <a:xfrm>
          <a:off x="381000" y="767080"/>
          <a:ext cx="152400" cy="114300"/>
        </a:xfrm>
        <a:prstGeom prst="righ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50800</xdr:rowOff>
    </xdr:from>
    <xdr:to>
      <xdr:col>0</xdr:col>
      <xdr:colOff>114300</xdr:colOff>
      <xdr:row>4</xdr:row>
      <xdr:rowOff>3175</xdr:rowOff>
    </xdr:to>
    <xdr:sp macro="" textlink="">
      <xdr:nvSpPr>
        <xdr:cNvPr id="2" name="ArrowSheetTop">
          <a:hlinkClick xmlns:r="http://schemas.openxmlformats.org/officeDocument/2006/relationships" r:id="rId1" tooltip="Top of Sheet"/>
          <a:extLst>
            <a:ext uri="{FF2B5EF4-FFF2-40B4-BE49-F238E27FC236}">
              <a16:creationId xmlns:a16="http://schemas.microsoft.com/office/drawing/2014/main" id="{7218A5DC-70B7-BE81-F9D5-E9777E087D60}"/>
            </a:ext>
          </a:extLst>
        </xdr:cNvPr>
        <xdr:cNvSpPr>
          <a:spLocks noChangeAspect="1"/>
        </xdr:cNvSpPr>
      </xdr:nvSpPr>
      <xdr:spPr>
        <a:xfrm>
          <a:off x="0" y="746125"/>
          <a:ext cx="114300" cy="152400"/>
        </a:xfrm>
        <a:prstGeom prst="up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1</xdr:col>
      <xdr:colOff>0</xdr:colOff>
      <xdr:row>3</xdr:row>
      <xdr:rowOff>88900</xdr:rowOff>
    </xdr:from>
    <xdr:to>
      <xdr:col>1</xdr:col>
      <xdr:colOff>152400</xdr:colOff>
      <xdr:row>4</xdr:row>
      <xdr:rowOff>3175</xdr:rowOff>
    </xdr:to>
    <xdr:sp macro="" textlink="">
      <xdr:nvSpPr>
        <xdr:cNvPr id="3" name="ArrowSheetPrevious">
          <a:hlinkClick xmlns:r="http://schemas.openxmlformats.org/officeDocument/2006/relationships" r:id="rId2" tooltip="Previous Sheet"/>
          <a:extLst>
            <a:ext uri="{FF2B5EF4-FFF2-40B4-BE49-F238E27FC236}">
              <a16:creationId xmlns:a16="http://schemas.microsoft.com/office/drawing/2014/main" id="{2134B8B5-871A-5585-C1D2-6E779BBF5F66}"/>
            </a:ext>
          </a:extLst>
        </xdr:cNvPr>
        <xdr:cNvSpPr/>
      </xdr:nvSpPr>
      <xdr:spPr>
        <a:xfrm>
          <a:off x="180975" y="784225"/>
          <a:ext cx="152400" cy="114300"/>
        </a:xfrm>
        <a:prstGeom prst="lef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2</xdr:col>
      <xdr:colOff>0</xdr:colOff>
      <xdr:row>3</xdr:row>
      <xdr:rowOff>88900</xdr:rowOff>
    </xdr:from>
    <xdr:to>
      <xdr:col>2</xdr:col>
      <xdr:colOff>152400</xdr:colOff>
      <xdr:row>4</xdr:row>
      <xdr:rowOff>3175</xdr:rowOff>
    </xdr:to>
    <xdr:sp macro="" textlink="">
      <xdr:nvSpPr>
        <xdr:cNvPr id="4" name="ArrowSheetNext">
          <a:hlinkClick xmlns:r="http://schemas.openxmlformats.org/officeDocument/2006/relationships" r:id="rId3" tooltip="Next Sheet"/>
          <a:extLst>
            <a:ext uri="{FF2B5EF4-FFF2-40B4-BE49-F238E27FC236}">
              <a16:creationId xmlns:a16="http://schemas.microsoft.com/office/drawing/2014/main" id="{28D02CD3-EE12-4229-DA9C-9DCDD0D6FD9F}"/>
            </a:ext>
          </a:extLst>
        </xdr:cNvPr>
        <xdr:cNvSpPr/>
      </xdr:nvSpPr>
      <xdr:spPr>
        <a:xfrm>
          <a:off x="361950" y="784225"/>
          <a:ext cx="152400" cy="114300"/>
        </a:xfrm>
        <a:prstGeom prst="righ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3</xdr:row>
      <xdr:rowOff>50800</xdr:rowOff>
    </xdr:from>
    <xdr:to>
      <xdr:col>0</xdr:col>
      <xdr:colOff>114300</xdr:colOff>
      <xdr:row>4</xdr:row>
      <xdr:rowOff>3175</xdr:rowOff>
    </xdr:to>
    <xdr:sp macro="" textlink="">
      <xdr:nvSpPr>
        <xdr:cNvPr id="2" name="ArrowSheetTop">
          <a:hlinkClick xmlns:r="http://schemas.openxmlformats.org/officeDocument/2006/relationships" r:id="rId1" tooltip="Top of Sheet"/>
          <a:extLst>
            <a:ext uri="{FF2B5EF4-FFF2-40B4-BE49-F238E27FC236}">
              <a16:creationId xmlns:a16="http://schemas.microsoft.com/office/drawing/2014/main" id="{A46F0D34-9C18-C512-F7E1-C0B9644E96BB}"/>
            </a:ext>
          </a:extLst>
        </xdr:cNvPr>
        <xdr:cNvSpPr>
          <a:spLocks noChangeAspect="1"/>
        </xdr:cNvSpPr>
      </xdr:nvSpPr>
      <xdr:spPr>
        <a:xfrm>
          <a:off x="0" y="746125"/>
          <a:ext cx="114300" cy="152400"/>
        </a:xfrm>
        <a:prstGeom prst="up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1</xdr:col>
      <xdr:colOff>0</xdr:colOff>
      <xdr:row>3</xdr:row>
      <xdr:rowOff>88900</xdr:rowOff>
    </xdr:from>
    <xdr:to>
      <xdr:col>1</xdr:col>
      <xdr:colOff>152400</xdr:colOff>
      <xdr:row>4</xdr:row>
      <xdr:rowOff>3175</xdr:rowOff>
    </xdr:to>
    <xdr:sp macro="" textlink="">
      <xdr:nvSpPr>
        <xdr:cNvPr id="3" name="ArrowSheetPrevious">
          <a:hlinkClick xmlns:r="http://schemas.openxmlformats.org/officeDocument/2006/relationships" r:id="rId2" tooltip="Previous Sheet"/>
          <a:extLst>
            <a:ext uri="{FF2B5EF4-FFF2-40B4-BE49-F238E27FC236}">
              <a16:creationId xmlns:a16="http://schemas.microsoft.com/office/drawing/2014/main" id="{D03A8414-0401-3898-787E-337DBDF5A702}"/>
            </a:ext>
          </a:extLst>
        </xdr:cNvPr>
        <xdr:cNvSpPr/>
      </xdr:nvSpPr>
      <xdr:spPr>
        <a:xfrm>
          <a:off x="180975" y="784225"/>
          <a:ext cx="152400" cy="114300"/>
        </a:xfrm>
        <a:prstGeom prst="lef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2</xdr:col>
      <xdr:colOff>0</xdr:colOff>
      <xdr:row>3</xdr:row>
      <xdr:rowOff>88900</xdr:rowOff>
    </xdr:from>
    <xdr:to>
      <xdr:col>2</xdr:col>
      <xdr:colOff>152400</xdr:colOff>
      <xdr:row>4</xdr:row>
      <xdr:rowOff>3175</xdr:rowOff>
    </xdr:to>
    <xdr:sp macro="" textlink="">
      <xdr:nvSpPr>
        <xdr:cNvPr id="4" name="ArrowSheetNext">
          <a:hlinkClick xmlns:r="http://schemas.openxmlformats.org/officeDocument/2006/relationships" r:id="rId3" tooltip="Next Sheet"/>
          <a:extLst>
            <a:ext uri="{FF2B5EF4-FFF2-40B4-BE49-F238E27FC236}">
              <a16:creationId xmlns:a16="http://schemas.microsoft.com/office/drawing/2014/main" id="{440A242F-1738-79F9-2589-1D1DC0F2FA2E}"/>
            </a:ext>
          </a:extLst>
        </xdr:cNvPr>
        <xdr:cNvSpPr/>
      </xdr:nvSpPr>
      <xdr:spPr>
        <a:xfrm>
          <a:off x="361950" y="784225"/>
          <a:ext cx="152400" cy="114300"/>
        </a:xfrm>
        <a:prstGeom prst="rightArrow">
          <a:avLst/>
        </a:prstGeom>
        <a:solidFill>
          <a:srgbClr val="993366"/>
        </a:solidFill>
        <a:ln w="12700" cap="flat" cmpd="sng" algn="ctr">
          <a:noFill/>
          <a:prstDash val="solid"/>
          <a:miter lim="800000"/>
        </a:ln>
        <a:effectLst/>
        <a:extLs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8" Type="http://schemas.openxmlformats.org/officeDocument/2006/relationships/hyperlink" Target="https://www.pnnl.gov/lithium-ion-battery-lfp-and-nmc" TargetMode="External"/><Relationship Id="rId13" Type="http://schemas.openxmlformats.org/officeDocument/2006/relationships/hyperlink" Target="https://www.nrel.gov/docs/fy21osti/78694.pdf" TargetMode="External"/><Relationship Id="rId18" Type="http://schemas.openxmlformats.org/officeDocument/2006/relationships/hyperlink" Target="https://www.tesla.com/megapack/design" TargetMode="External"/><Relationship Id="rId3" Type="http://schemas.openxmlformats.org/officeDocument/2006/relationships/hyperlink" Target="https://www.nrel.gov/docs/fy22osti/83586.pdf" TargetMode="External"/><Relationship Id="rId21" Type="http://schemas.openxmlformats.org/officeDocument/2006/relationships/printerSettings" Target="../printerSettings/printerSettings11.bin"/><Relationship Id="rId7" Type="http://schemas.openxmlformats.org/officeDocument/2006/relationships/hyperlink" Target="https://www.tesla.com/megapack/design" TargetMode="External"/><Relationship Id="rId12" Type="http://schemas.openxmlformats.org/officeDocument/2006/relationships/hyperlink" Target="https://www.pnnl.gov/lithium-ion-battery-lfp-and-nmc" TargetMode="External"/><Relationship Id="rId17" Type="http://schemas.openxmlformats.org/officeDocument/2006/relationships/hyperlink" Target="https://www.nrel.gov/docs/fy21osti/78694.pdf" TargetMode="External"/><Relationship Id="rId2" Type="http://schemas.openxmlformats.org/officeDocument/2006/relationships/hyperlink" Target="https://www.pnnl.gov/lithium-ion-battery-lfp-and-nmc" TargetMode="External"/><Relationship Id="rId16" Type="http://schemas.openxmlformats.org/officeDocument/2006/relationships/hyperlink" Target="https://www.pnnl.gov/lithium-ion-battery-lfp-and-nmc" TargetMode="External"/><Relationship Id="rId20" Type="http://schemas.openxmlformats.org/officeDocument/2006/relationships/hyperlink" Target="https://www.pnnl.gov/lithium-ion-battery-lfp-and-nmc" TargetMode="External"/><Relationship Id="rId1" Type="http://schemas.openxmlformats.org/officeDocument/2006/relationships/hyperlink" Target="https://109ee710-a8f3-4a8a-9952-28554c7df7a5.usrfiles.com/ugd/109ee7_775f8efa3d034d439124b5431ff095a1.pdf" TargetMode="External"/><Relationship Id="rId6" Type="http://schemas.openxmlformats.org/officeDocument/2006/relationships/hyperlink" Target="https://atb.nrel.gov/electricity/2022/utility-scale_battery_storage" TargetMode="External"/><Relationship Id="rId11" Type="http://schemas.openxmlformats.org/officeDocument/2006/relationships/hyperlink" Target="https://www.nrel.gov/docs/fy22osti/83586.pdf" TargetMode="External"/><Relationship Id="rId5" Type="http://schemas.openxmlformats.org/officeDocument/2006/relationships/hyperlink" Target="https://www.nrel.gov/docs/fy21osti/78694.pdf" TargetMode="External"/><Relationship Id="rId15" Type="http://schemas.openxmlformats.org/officeDocument/2006/relationships/hyperlink" Target="https://www.nrel.gov/docs/fy22osti/83586.pdf" TargetMode="External"/><Relationship Id="rId10" Type="http://schemas.openxmlformats.org/officeDocument/2006/relationships/hyperlink" Target="https://atb.nrel.gov/electricity/2022/utility-scale_battery_storage" TargetMode="External"/><Relationship Id="rId19" Type="http://schemas.openxmlformats.org/officeDocument/2006/relationships/hyperlink" Target="https://atb.nrel.gov/electricity/2022/utility-scale_battery_storage" TargetMode="External"/><Relationship Id="rId4" Type="http://schemas.openxmlformats.org/officeDocument/2006/relationships/hyperlink" Target="https://cicenergigune.com/en/blog/format-battery-cell-manufacturers-prismatic-cylindrical-pouch" TargetMode="External"/><Relationship Id="rId9" Type="http://schemas.openxmlformats.org/officeDocument/2006/relationships/hyperlink" Target="https://www.nrel.gov/docs/fy21osti/78694.pdf" TargetMode="External"/><Relationship Id="rId14" Type="http://schemas.openxmlformats.org/officeDocument/2006/relationships/hyperlink" Target="https://www.nrel.gov/docs/fy22osti/83586.pdf" TargetMode="External"/><Relationship Id="rId22"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8" Type="http://schemas.openxmlformats.org/officeDocument/2006/relationships/hyperlink" Target="https://www.irena.org/publications/2022/Jul/Renewable-Power-Generation-Costs-in-2021" TargetMode="External"/><Relationship Id="rId13" Type="http://schemas.openxmlformats.org/officeDocument/2006/relationships/hyperlink" Target="https://www.irena.org/publications/2022/Jul/Renewable-Power-Generation-Costs-in-2021" TargetMode="External"/><Relationship Id="rId18" Type="http://schemas.openxmlformats.org/officeDocument/2006/relationships/hyperlink" Target="https://www.jobbank.gc.ca/marketreport/wages-occupation/26866/ca" TargetMode="External"/><Relationship Id="rId3" Type="http://schemas.openxmlformats.org/officeDocument/2006/relationships/hyperlink" Target="https://www.nrel.gov/docs/fy22osti/83586.pdf" TargetMode="External"/><Relationship Id="rId21" Type="http://schemas.openxmlformats.org/officeDocument/2006/relationships/printerSettings" Target="../printerSettings/printerSettings12.bin"/><Relationship Id="rId7" Type="http://schemas.openxmlformats.org/officeDocument/2006/relationships/hyperlink" Target="https://www.nrel.gov/docs/fy22osti/83586.pdf" TargetMode="External"/><Relationship Id="rId12" Type="http://schemas.openxmlformats.org/officeDocument/2006/relationships/hyperlink" Target="https://www.irena.org/publications/2022/Jul/Renewable-Power-Generation-Costs-in-2021" TargetMode="External"/><Relationship Id="rId17" Type="http://schemas.openxmlformats.org/officeDocument/2006/relationships/hyperlink" Target="https://www.nrel.gov/docs/fy22osti/83586.pdf" TargetMode="External"/><Relationship Id="rId2" Type="http://schemas.openxmlformats.org/officeDocument/2006/relationships/hyperlink" Target="https://www.irena.org/publications/2022/Jul/Renewable-Power-Generation-Costs-in-2021" TargetMode="External"/><Relationship Id="rId16" Type="http://schemas.openxmlformats.org/officeDocument/2006/relationships/hyperlink" Target="https://eta-publications.lbl.gov/sites/default/files/solar_life_and_opex_report.pdf" TargetMode="External"/><Relationship Id="rId20" Type="http://schemas.openxmlformats.org/officeDocument/2006/relationships/hyperlink" Target="https://www150.statcan.gc.ca/t1/tbl1/en/tv.action?pid=1410034001&amp;pickMembers%5B0%5D=1.10&amp;pickMembers%5B1%5D=2.2&amp;pickMembers%5B2%5D=3.1&amp;pickMembers%5B3%5D=5.1&amp;pickMembers%5B4%5D=6.1&amp;cubeTimeFrame.startYear=2017&amp;cubeTimeFrame.endYear=2021&amp;referencePeriods=20170101%2C20210101" TargetMode="External"/><Relationship Id="rId1" Type="http://schemas.openxmlformats.org/officeDocument/2006/relationships/hyperlink" Target="https://view.officeapps.live.com/op/view.aspx?src=https%3A%2F%2Femp.lbl.gov%2Fsites%2Fdefault%2Ffiles%2F2022_utility-scale_solar_data_update.xlsm&amp;wdOrigin=BROWSELINK" TargetMode="External"/><Relationship Id="rId6" Type="http://schemas.openxmlformats.org/officeDocument/2006/relationships/hyperlink" Target="https://www.vdma.org/international-technology-roadmap-photovoltaic" TargetMode="External"/><Relationship Id="rId11" Type="http://schemas.openxmlformats.org/officeDocument/2006/relationships/hyperlink" Target="https://www.nrel.gov/docs/fy22osti/83586.pdf" TargetMode="External"/><Relationship Id="rId5" Type="http://schemas.openxmlformats.org/officeDocument/2006/relationships/hyperlink" Target="https://www.nrel.gov/solar/market-research-analysis/solar-manufacturing-cost.html" TargetMode="External"/><Relationship Id="rId15" Type="http://schemas.openxmlformats.org/officeDocument/2006/relationships/hyperlink" Target="https://atb.nrel.gov/electricity/2022/utility-scale_pv" TargetMode="External"/><Relationship Id="rId10" Type="http://schemas.openxmlformats.org/officeDocument/2006/relationships/hyperlink" Target="https://www.vdma.org/international-technology-roadmap-photovoltaic" TargetMode="External"/><Relationship Id="rId19" Type="http://schemas.openxmlformats.org/officeDocument/2006/relationships/hyperlink" Target="https://www.centralhuron.ca/en/living-here/resources/2022-Tax-Rates.pdf" TargetMode="External"/><Relationship Id="rId4" Type="http://schemas.openxmlformats.org/officeDocument/2006/relationships/hyperlink" Target="https://www.vdma.org/international-technology-roadmap-photovoltaic" TargetMode="External"/><Relationship Id="rId9" Type="http://schemas.openxmlformats.org/officeDocument/2006/relationships/hyperlink" Target="https://www.vdma.org/international-technology-roadmap-photovoltaic" TargetMode="External"/><Relationship Id="rId14" Type="http://schemas.openxmlformats.org/officeDocument/2006/relationships/hyperlink" Target="https://www.nrel.gov/docs/fy22osti/83586.pdf" TargetMode="External"/><Relationship Id="rId22"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3" Type="http://schemas.openxmlformats.org/officeDocument/2006/relationships/hyperlink" Target="https://www.nature.com/articles/s41560-021-00810-z" TargetMode="External"/><Relationship Id="rId18" Type="http://schemas.openxmlformats.org/officeDocument/2006/relationships/hyperlink" Target="https://www.wind-energy-the-facts.org/rotor-and-nacelle-mass.html" TargetMode="External"/><Relationship Id="rId26" Type="http://schemas.openxmlformats.org/officeDocument/2006/relationships/hyperlink" Target="https://www.google.ca/maps/dir/Windsor,+Colorado,+USA/Calgary,+AB/@45.4110041,-118.411665,5z/data=!3m1!4b1!4m14!4m13!1m5!1m1!1s0x87694a4edda7beb1:0x5b26a9575eb774c!2m2!1d-104.9013617!2d40.4774818!1m5!1m1!1s0x537170039f843fd5:0x266d3bb1b652b63a!2m2!1d-114.0718831!2d51.0447331!3e0" TargetMode="External"/><Relationship Id="rId39" Type="http://schemas.openxmlformats.org/officeDocument/2006/relationships/printerSettings" Target="../printerSettings/printerSettings13.bin"/><Relationship Id="rId21" Type="http://schemas.openxmlformats.org/officeDocument/2006/relationships/hyperlink" Target="https://eta-publications.lbl.gov/sites/default/files/opex_paper_final.pdf" TargetMode="External"/><Relationship Id="rId34" Type="http://schemas.openxmlformats.org/officeDocument/2006/relationships/hyperlink" Target="https://on.jobbank.gc.ca/wagereport/occupation/7906" TargetMode="External"/><Relationship Id="rId7" Type="http://schemas.openxmlformats.org/officeDocument/2006/relationships/hyperlink" Target="https://www.nrel.gov/docs/fy20osti/74598.pdf" TargetMode="External"/><Relationship Id="rId12" Type="http://schemas.openxmlformats.org/officeDocument/2006/relationships/hyperlink" Target="https://www.nrel.gov/docs/fy18osti/72167.pdf" TargetMode="External"/><Relationship Id="rId17" Type="http://schemas.openxmlformats.org/officeDocument/2006/relationships/hyperlink" Target="https://www.nrel.gov/docs/fy22osti/81209.pdf" TargetMode="External"/><Relationship Id="rId25" Type="http://schemas.openxmlformats.org/officeDocument/2006/relationships/hyperlink" Target="https://escholarship.org/content/qt0vr6b23m/qt0vr6b23m.pdf" TargetMode="External"/><Relationship Id="rId33" Type="http://schemas.openxmlformats.org/officeDocument/2006/relationships/hyperlink" Target="https://on.jobbank.gc.ca/wagereport/occupation/15089" TargetMode="External"/><Relationship Id="rId38" Type="http://schemas.openxmlformats.org/officeDocument/2006/relationships/hyperlink" Target="https://www.aeso.ca/assets/Uploads/industry-roundtables/20210528-Power-Advisory-AESO-Renewable-Investment-Outlook-Summary.pdf" TargetMode="External"/><Relationship Id="rId2" Type="http://schemas.openxmlformats.org/officeDocument/2006/relationships/hyperlink" Target="https://www.nrel.gov/docs/fy21osti/78471.pdf" TargetMode="External"/><Relationship Id="rId16" Type="http://schemas.openxmlformats.org/officeDocument/2006/relationships/hyperlink" Target="https://escholarship.org/content/qt0vr6b23m/qt0vr6b23m.pdf" TargetMode="External"/><Relationship Id="rId20" Type="http://schemas.openxmlformats.org/officeDocument/2006/relationships/hyperlink" Target="https://www.nrel.gov/docs/fy22osti/81209.pdf" TargetMode="External"/><Relationship Id="rId29" Type="http://schemas.openxmlformats.org/officeDocument/2006/relationships/hyperlink" Target="https://www.nrel.gov/docs/fy22osti/81209.pdf" TargetMode="External"/><Relationship Id="rId1" Type="http://schemas.openxmlformats.org/officeDocument/2006/relationships/hyperlink" Target="https://www.nrel.gov/docs/fy22osti/81209.pdf" TargetMode="External"/><Relationship Id="rId6" Type="http://schemas.openxmlformats.org/officeDocument/2006/relationships/hyperlink" Target="https://www.nrel.gov/docs/fy21osti/78471.pdf" TargetMode="External"/><Relationship Id="rId11" Type="http://schemas.openxmlformats.org/officeDocument/2006/relationships/hyperlink" Target="https://www.nrel.gov/docs/fy20osti/74598.pdf" TargetMode="External"/><Relationship Id="rId24" Type="http://schemas.openxmlformats.org/officeDocument/2006/relationships/hyperlink" Target="https://www.vestas.ca/en-ca/manufacturing" TargetMode="External"/><Relationship Id="rId32" Type="http://schemas.openxmlformats.org/officeDocument/2006/relationships/hyperlink" Target="https://on.jobbank.gc.ca/wagereport/occupation/8447" TargetMode="External"/><Relationship Id="rId37" Type="http://schemas.openxmlformats.org/officeDocument/2006/relationships/hyperlink" Target="https://eta-publications.lbl.gov/sites/default/files/wind_useful_life_report.pdf" TargetMode="External"/><Relationship Id="rId40" Type="http://schemas.openxmlformats.org/officeDocument/2006/relationships/drawing" Target="../drawings/drawing18.xml"/><Relationship Id="rId5" Type="http://schemas.openxmlformats.org/officeDocument/2006/relationships/hyperlink" Target="https://www.nrel.gov/docs/fy22osti/81209.pdf" TargetMode="External"/><Relationship Id="rId15" Type="http://schemas.openxmlformats.org/officeDocument/2006/relationships/hyperlink" Target="https://www.nature.com/articles/s41560-021-00810-z" TargetMode="External"/><Relationship Id="rId23" Type="http://schemas.openxmlformats.org/officeDocument/2006/relationships/hyperlink" Target="https://view.officeapps.live.com/op/view.aspx?src=https%3A%2F%2Fftp.cartes.canada.ca%2Fpub%2Fnrcan_rncan%2FWind-energy_Energie-eolienne%2Fwind_turbines_database%2FWind_Turbine_Database_FGP.xlsx&amp;wdOrigin=BROWSELINK" TargetMode="External"/><Relationship Id="rId28" Type="http://schemas.openxmlformats.org/officeDocument/2006/relationships/hyperlink" Target="https://www.google.ca/maps/dir/Fort+Madison,+IA,+USA/Toronto,+Ontario/@42.0054572,-89.8358045,6z/data=!3m1!4b1!4m14!4m13!1m5!1m1!1s0x87e72818d214a129:0x1e8a8f55b6d3f664!2m2!1d-91.314535!2d40.6297634!1m5!1m1!1s0x89d4cb90d7c63ba5:0x323555502ab4c477!2m2!1d-79.3831843!2d43.653226!3e0" TargetMode="External"/><Relationship Id="rId36" Type="http://schemas.openxmlformats.org/officeDocument/2006/relationships/hyperlink" Target="https://www.middlesexcentre.on.ca/property-tax-calculator" TargetMode="External"/><Relationship Id="rId10" Type="http://schemas.openxmlformats.org/officeDocument/2006/relationships/hyperlink" Target="https://www.nrel.gov/docs/fy21osti/78471.pdf" TargetMode="External"/><Relationship Id="rId19" Type="http://schemas.openxmlformats.org/officeDocument/2006/relationships/hyperlink" Target="https://www.nrel.gov/docs/fy22osti/81209.pdf" TargetMode="External"/><Relationship Id="rId31" Type="http://schemas.openxmlformats.org/officeDocument/2006/relationships/hyperlink" Target="https://www.bls.gov/green/wind_energy/" TargetMode="External"/><Relationship Id="rId4" Type="http://schemas.openxmlformats.org/officeDocument/2006/relationships/hyperlink" Target="https://www.nrel.gov/docs/fy18osti/72167.pdf" TargetMode="External"/><Relationship Id="rId9" Type="http://schemas.openxmlformats.org/officeDocument/2006/relationships/hyperlink" Target="https://www.nrel.gov/docs/fy22osti/81209.pdf" TargetMode="External"/><Relationship Id="rId14" Type="http://schemas.openxmlformats.org/officeDocument/2006/relationships/hyperlink" Target="https://www.nature.com/articles/s41560-021-00810-z" TargetMode="External"/><Relationship Id="rId22" Type="http://schemas.openxmlformats.org/officeDocument/2006/relationships/hyperlink" Target="https://atb.nrel.gov/electricity/2022/land-based_wind" TargetMode="External"/><Relationship Id="rId27" Type="http://schemas.openxmlformats.org/officeDocument/2006/relationships/hyperlink" Target="https://www.siemensgamesa.com/en-int/about-us/location-finder" TargetMode="External"/><Relationship Id="rId30" Type="http://schemas.openxmlformats.org/officeDocument/2006/relationships/hyperlink" Target="https://www.nrel.gov/docs/fy15osti/63267.pdf" TargetMode="External"/><Relationship Id="rId35" Type="http://schemas.openxmlformats.org/officeDocument/2006/relationships/hyperlink" Target="https://vidque.com/how-much-money-does-a-land-owner-get-from-a-wind-turbine/" TargetMode="External"/><Relationship Id="rId8" Type="http://schemas.openxmlformats.org/officeDocument/2006/relationships/hyperlink" Target="https://www.nrel.gov/docs/fy18osti/72167.pdf" TargetMode="External"/><Relationship Id="rId3" Type="http://schemas.openxmlformats.org/officeDocument/2006/relationships/hyperlink" Target="https://www.nrel.gov/docs/fy20osti/74598.pdf" TargetMode="External"/></Relationships>
</file>

<file path=xl/worksheets/_rels/sheet19.xml.rels><?xml version="1.0" encoding="UTF-8" standalone="yes"?>
<Relationships xmlns="http://schemas.openxmlformats.org/package/2006/relationships"><Relationship Id="rId3" Type="http://schemas.openxmlformats.org/officeDocument/2006/relationships/hyperlink" Target="https://www.ieso.ca/-/media/Files/IESO/Document-Library/planning-forecasts/apo/Dec2022/Fuel-Cost.ashx" TargetMode="External"/><Relationship Id="rId2" Type="http://schemas.openxmlformats.org/officeDocument/2006/relationships/hyperlink" Target="https://atb.nrel.gov/electricity/2022/fossil_energy_technologies" TargetMode="External"/><Relationship Id="rId1" Type="http://schemas.openxmlformats.org/officeDocument/2006/relationships/hyperlink" Target="https://nwcouncil.app.box.com/s/96lf3n8yz9kvpidrvhsv57cd97tcoej7/file/617027984221" TargetMode="External"/><Relationship Id="rId5" Type="http://schemas.openxmlformats.org/officeDocument/2006/relationships/drawing" Target="../drawings/drawing19.xml"/><Relationship Id="rId4"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https://www.ieso.ca/-/media/Files/IESO/Document-Library/planning-forecasts/apo/Dec2022/Fuel-Cost.ashx" TargetMode="External"/><Relationship Id="rId1" Type="http://schemas.openxmlformats.org/officeDocument/2006/relationships/hyperlink" Target="https://atb.nrel.gov/electricity/2022/fossil_energy_technologies" TargetMode="External"/><Relationship Id="rId4"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7D6EF-A3AF-48F0-A10D-133B42AE4A7B}">
  <sheetPr>
    <tabColor rgb="FF003766"/>
  </sheetPr>
  <dimension ref="B9:E22"/>
  <sheetViews>
    <sheetView tabSelected="1" topLeftCell="A2" workbookViewId="0">
      <selection activeCell="H26" sqref="H26"/>
    </sheetView>
  </sheetViews>
  <sheetFormatPr baseColWidth="10" defaultColWidth="8.6640625" defaultRowHeight="15" x14ac:dyDescent="0.2"/>
  <cols>
    <col min="1" max="4" width="2.6640625" style="296" customWidth="1"/>
    <col min="5" max="5" width="20.6640625" style="296" customWidth="1"/>
    <col min="6" max="16384" width="8.6640625" style="296"/>
  </cols>
  <sheetData>
    <row r="9" spans="2:5" ht="21" x14ac:dyDescent="0.25">
      <c r="B9" s="295" t="s">
        <v>0</v>
      </c>
    </row>
    <row r="14" spans="2:5" ht="19" x14ac:dyDescent="0.25">
      <c r="B14" s="297" t="s">
        <v>1</v>
      </c>
    </row>
    <row r="15" spans="2:5" x14ac:dyDescent="0.2">
      <c r="B15" s="330" t="str">
        <f ca="1">HYPERLINK("#"&amp;CELL("address", _Contents!B3 ), "Go to Table of Contents")</f>
        <v>Go to Table of Contents</v>
      </c>
      <c r="C15" s="330"/>
      <c r="D15" s="330"/>
      <c r="E15" s="330"/>
    </row>
    <row r="17" spans="2:2" x14ac:dyDescent="0.2">
      <c r="B17" s="298" t="s">
        <v>2</v>
      </c>
    </row>
    <row r="18" spans="2:2" x14ac:dyDescent="0.2">
      <c r="B18" s="298" t="s">
        <v>3</v>
      </c>
    </row>
    <row r="19" spans="2:2" x14ac:dyDescent="0.2">
      <c r="B19" s="296" t="s">
        <v>780</v>
      </c>
    </row>
    <row r="22" spans="2:2" x14ac:dyDescent="0.2">
      <c r="B22" s="298" t="s">
        <v>4</v>
      </c>
    </row>
  </sheetData>
  <mergeCells count="1">
    <mergeCell ref="B15:E15"/>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C048A-F240-4C34-8A2C-B9B4CC18BDBB}">
  <dimension ref="B1:AH163"/>
  <sheetViews>
    <sheetView workbookViewId="0">
      <selection activeCell="H83" sqref="H83"/>
    </sheetView>
  </sheetViews>
  <sheetFormatPr baseColWidth="10" defaultColWidth="8.83203125" defaultRowHeight="16" x14ac:dyDescent="0.2"/>
  <cols>
    <col min="1" max="1" width="2.6640625" customWidth="1"/>
    <col min="2" max="2" width="2.6640625" style="3" customWidth="1"/>
    <col min="3" max="3" width="2.6640625" style="4" customWidth="1"/>
    <col min="4" max="4" width="2.6640625" style="2" customWidth="1"/>
    <col min="5" max="5" width="20.6640625" customWidth="1"/>
    <col min="6" max="6" width="2.6640625" style="19" customWidth="1"/>
    <col min="7" max="7" width="2.6640625" style="13" customWidth="1"/>
    <col min="8" max="9" width="2.6640625" style="19" customWidth="1"/>
    <col min="10" max="10" width="33" style="205" customWidth="1"/>
    <col min="11" max="11" width="10.5" style="21" customWidth="1"/>
    <col min="12" max="12" width="12.5" style="21" bestFit="1" customWidth="1"/>
    <col min="13" max="13" width="12.5" style="21" customWidth="1"/>
    <col min="14" max="24" width="11.5" style="21" customWidth="1"/>
    <col min="25" max="27" width="2.6640625" customWidth="1"/>
    <col min="28" max="28" width="3.33203125" customWidth="1"/>
    <col min="29" max="29" width="15.6640625" style="45" customWidth="1"/>
    <col min="30" max="30" width="27.33203125" style="45" customWidth="1"/>
  </cols>
  <sheetData>
    <row r="1" spans="2:30" ht="21" x14ac:dyDescent="0.25">
      <c r="B1" s="5" t="str">
        <f>"Wind Cost Forecast for " &amp;selected.location</f>
        <v>Wind Cost Forecast for Ontario</v>
      </c>
    </row>
    <row r="2" spans="2:30" ht="19" x14ac:dyDescent="0.25">
      <c r="B2" s="1" t="str">
        <f>_Cover!B14</f>
        <v>Renewable Cost Forecast</v>
      </c>
      <c r="K2" s="194"/>
    </row>
    <row r="3" spans="2:30" ht="15" x14ac:dyDescent="0.2">
      <c r="B3" s="331" t="str">
        <f ca="1">HYPERLINK("#"&amp;CELL("address", _Contents!B3 ), "Go to Table of Contents")</f>
        <v>Go to Table of Contents</v>
      </c>
      <c r="C3" s="331"/>
      <c r="D3" s="331"/>
      <c r="E3" s="331"/>
    </row>
    <row r="4" spans="2:30" x14ac:dyDescent="0.2">
      <c r="K4" s="22">
        <v>2022</v>
      </c>
      <c r="L4" s="22">
        <v>2023</v>
      </c>
      <c r="M4" s="22">
        <v>2024</v>
      </c>
      <c r="N4" s="22">
        <v>2025</v>
      </c>
      <c r="O4" s="22">
        <v>2026</v>
      </c>
      <c r="P4" s="22">
        <v>2027</v>
      </c>
      <c r="Q4" s="22">
        <v>2028</v>
      </c>
      <c r="R4" s="22">
        <v>2029</v>
      </c>
      <c r="S4" s="22">
        <v>2030</v>
      </c>
      <c r="T4" s="22">
        <v>2031</v>
      </c>
      <c r="U4" s="22">
        <v>2032</v>
      </c>
      <c r="V4" s="22">
        <v>2033</v>
      </c>
      <c r="W4" s="22">
        <v>2034</v>
      </c>
      <c r="X4" s="22">
        <v>2035</v>
      </c>
      <c r="AC4" s="10" t="s">
        <v>27</v>
      </c>
      <c r="AD4" s="50"/>
    </row>
    <row r="6" spans="2:30" x14ac:dyDescent="0.2">
      <c r="F6" s="156" t="str">
        <f>"Results - "&amp;selected.location&amp;" Real 2022$CA"</f>
        <v>Results - Ontario Real 2022$CA</v>
      </c>
      <c r="AB6" s="12"/>
    </row>
    <row r="7" spans="2:30" x14ac:dyDescent="0.2">
      <c r="J7" s="14" t="s">
        <v>273</v>
      </c>
      <c r="K7" s="153" cm="1">
        <f t="array" ref="K7:X7">K30:X30*1000/K12:X12</f>
        <v>5315.9385958670418</v>
      </c>
      <c r="L7" s="153">
        <v>5040.6991692439715</v>
      </c>
      <c r="M7" s="153">
        <v>4813.78097002089</v>
      </c>
      <c r="N7" s="153">
        <v>4613.3271605571881</v>
      </c>
      <c r="O7" s="153">
        <v>4428.8486504569983</v>
      </c>
      <c r="P7" s="153">
        <v>4309.7738635799387</v>
      </c>
      <c r="Q7" s="153">
        <v>4196.4655389598311</v>
      </c>
      <c r="R7" s="153">
        <v>4086.0183880360792</v>
      </c>
      <c r="S7" s="153">
        <v>3976.2691078753201</v>
      </c>
      <c r="T7" s="153">
        <v>3865.6084674274507</v>
      </c>
      <c r="U7" s="153">
        <v>3790.4207134117837</v>
      </c>
      <c r="V7" s="153">
        <v>3675.0497515055818</v>
      </c>
      <c r="W7" s="153">
        <v>3594.9715323987098</v>
      </c>
      <c r="X7" s="153">
        <v>3463.188280550808</v>
      </c>
      <c r="AB7" s="12">
        <v>1</v>
      </c>
      <c r="AC7" s="18" t="s">
        <v>29</v>
      </c>
      <c r="AD7" s="51"/>
    </row>
    <row r="8" spans="2:30" x14ac:dyDescent="0.2">
      <c r="J8" s="14" t="s">
        <v>274</v>
      </c>
      <c r="K8" s="153" cm="1">
        <f t="array" ref="K8:X8">K31:X31*1000/K12:X12</f>
        <v>83.730568385061176</v>
      </c>
      <c r="L8" s="153">
        <v>79.046453384200319</v>
      </c>
      <c r="M8" s="153">
        <v>74.797866587942451</v>
      </c>
      <c r="N8" s="153">
        <v>70.761798971259026</v>
      </c>
      <c r="O8" s="153">
        <v>66.868361925627482</v>
      </c>
      <c r="P8" s="153">
        <v>64.099982015969857</v>
      </c>
      <c r="Q8" s="153">
        <v>61.407190777626596</v>
      </c>
      <c r="R8" s="153">
        <v>58.780076013904619</v>
      </c>
      <c r="S8" s="153">
        <v>56.212244154698482</v>
      </c>
      <c r="T8" s="153">
        <v>53.812322427348981</v>
      </c>
      <c r="U8" s="153">
        <v>52.424116040459204</v>
      </c>
      <c r="V8" s="153">
        <v>50.097017617798564</v>
      </c>
      <c r="W8" s="153">
        <v>48.763664327147779</v>
      </c>
      <c r="X8" s="153">
        <v>46.50224115339298</v>
      </c>
      <c r="AB8" s="12">
        <v>2</v>
      </c>
      <c r="AC8" s="18" t="s">
        <v>31</v>
      </c>
      <c r="AD8" s="51"/>
    </row>
    <row r="9" spans="2:30" x14ac:dyDescent="0.2">
      <c r="J9" s="14" t="s">
        <v>34</v>
      </c>
      <c r="K9" s="152" cm="1">
        <f t="array" ref="K9:X9">K155:X155</f>
        <v>0.11555304028466246</v>
      </c>
      <c r="L9" s="152">
        <v>0.10765302667847286</v>
      </c>
      <c r="M9" s="152">
        <v>0.10249501678980574</v>
      </c>
      <c r="N9" s="152">
        <v>9.6397512481071493E-2</v>
      </c>
      <c r="O9" s="152">
        <v>9.2127529180677042E-2</v>
      </c>
      <c r="P9" s="152">
        <v>8.8001272893977647E-2</v>
      </c>
      <c r="Q9" s="152">
        <v>8.4143673154844806E-2</v>
      </c>
      <c r="R9" s="152">
        <v>8.1541513267128024E-2</v>
      </c>
      <c r="S9" s="152">
        <v>7.794990463234687E-2</v>
      </c>
      <c r="T9" s="152">
        <v>7.5452992347889561E-2</v>
      </c>
      <c r="U9" s="152">
        <v>7.2894874247257671E-2</v>
      </c>
      <c r="V9" s="152">
        <v>7.0385742108950697E-2</v>
      </c>
      <c r="W9" s="152">
        <v>6.7896964914992655E-2</v>
      </c>
      <c r="X9" s="152">
        <v>6.3105429675206506E-2</v>
      </c>
      <c r="AB9" s="12">
        <v>3</v>
      </c>
      <c r="AC9" s="18"/>
      <c r="AD9" s="51"/>
    </row>
    <row r="10" spans="2:30" x14ac:dyDescent="0.2">
      <c r="F10" s="156" t="str">
        <f>"System Specifications- "&amp;selected.location</f>
        <v>System Specifications- Ontario</v>
      </c>
      <c r="AB10" s="12">
        <v>4</v>
      </c>
      <c r="AC10" s="18"/>
    </row>
    <row r="11" spans="2:30" x14ac:dyDescent="0.2">
      <c r="F11" s="156"/>
      <c r="I11" s="19" t="s">
        <v>275</v>
      </c>
      <c r="AB11" s="12">
        <v>5</v>
      </c>
      <c r="AC11" s="18"/>
    </row>
    <row r="12" spans="2:30" x14ac:dyDescent="0.2">
      <c r="F12" s="157"/>
      <c r="J12" s="205" t="s">
        <v>200</v>
      </c>
      <c r="K12" s="24">
        <v>200</v>
      </c>
      <c r="L12" s="24">
        <v>200</v>
      </c>
      <c r="M12" s="24">
        <v>200</v>
      </c>
      <c r="N12" s="24">
        <v>200</v>
      </c>
      <c r="O12" s="24">
        <v>200</v>
      </c>
      <c r="P12" s="24">
        <v>200</v>
      </c>
      <c r="Q12" s="24">
        <v>200</v>
      </c>
      <c r="R12" s="24">
        <v>200</v>
      </c>
      <c r="S12" s="24">
        <v>200</v>
      </c>
      <c r="T12" s="24">
        <v>200</v>
      </c>
      <c r="U12" s="24">
        <v>200</v>
      </c>
      <c r="V12" s="24">
        <v>200</v>
      </c>
      <c r="W12" s="24">
        <v>200</v>
      </c>
      <c r="X12" s="24">
        <v>200</v>
      </c>
      <c r="AB12" s="12">
        <v>6</v>
      </c>
      <c r="AC12" s="18" t="s">
        <v>36</v>
      </c>
    </row>
    <row r="13" spans="2:30" x14ac:dyDescent="0.2">
      <c r="F13" s="157"/>
      <c r="J13" s="205" t="s">
        <v>201</v>
      </c>
      <c r="K13" s="27">
        <f>0.0011*(K$4-2016)^2+0.1573*(K$4-2016)+2.1287</f>
        <v>3.1120999999999999</v>
      </c>
      <c r="L13" s="27">
        <f t="shared" ref="L13:X13" si="0">0.0011*(L$4-2016)^2+0.1573*(L$4-2016)+2.1287</f>
        <v>3.2836999999999996</v>
      </c>
      <c r="M13" s="27">
        <f t="shared" si="0"/>
        <v>3.4574999999999996</v>
      </c>
      <c r="N13" s="27">
        <f t="shared" si="0"/>
        <v>3.6334999999999997</v>
      </c>
      <c r="O13" s="27">
        <f t="shared" si="0"/>
        <v>3.8117000000000001</v>
      </c>
      <c r="P13" s="27">
        <f t="shared" si="0"/>
        <v>3.9920999999999998</v>
      </c>
      <c r="Q13" s="27">
        <f t="shared" si="0"/>
        <v>4.1746999999999996</v>
      </c>
      <c r="R13" s="27">
        <f t="shared" si="0"/>
        <v>4.3595000000000006</v>
      </c>
      <c r="S13" s="27">
        <f t="shared" si="0"/>
        <v>4.5465</v>
      </c>
      <c r="T13" s="27">
        <f t="shared" si="0"/>
        <v>4.7356999999999996</v>
      </c>
      <c r="U13" s="27">
        <f t="shared" si="0"/>
        <v>4.9270999999999994</v>
      </c>
      <c r="V13" s="27">
        <f t="shared" si="0"/>
        <v>5.1206999999999994</v>
      </c>
      <c r="W13" s="27">
        <f t="shared" si="0"/>
        <v>5.3164999999999996</v>
      </c>
      <c r="X13" s="27">
        <f t="shared" si="0"/>
        <v>5.5145</v>
      </c>
      <c r="AB13" s="12">
        <v>7</v>
      </c>
      <c r="AC13" s="18" t="s">
        <v>202</v>
      </c>
      <c r="AD13" s="51"/>
    </row>
    <row r="14" spans="2:30" x14ac:dyDescent="0.2">
      <c r="F14" s="157"/>
      <c r="J14" s="205" t="s">
        <v>203</v>
      </c>
      <c r="K14" s="24" cm="1">
        <f t="array" ref="K14:X14">ROUND(wind_selected.plant.capacity/wind_selected.turbine.capacity,0)</f>
        <v>64</v>
      </c>
      <c r="L14" s="24">
        <v>61</v>
      </c>
      <c r="M14" s="24">
        <v>58</v>
      </c>
      <c r="N14" s="24">
        <v>55</v>
      </c>
      <c r="O14" s="24">
        <v>52</v>
      </c>
      <c r="P14" s="24">
        <v>50</v>
      </c>
      <c r="Q14" s="24">
        <v>48</v>
      </c>
      <c r="R14" s="24">
        <v>46</v>
      </c>
      <c r="S14" s="24">
        <v>44</v>
      </c>
      <c r="T14" s="24">
        <v>42</v>
      </c>
      <c r="U14" s="24">
        <v>41</v>
      </c>
      <c r="V14" s="24">
        <v>39</v>
      </c>
      <c r="W14" s="24">
        <v>38</v>
      </c>
      <c r="X14" s="24">
        <v>36</v>
      </c>
      <c r="AB14" s="12">
        <v>8</v>
      </c>
      <c r="AC14" s="18" t="s">
        <v>204</v>
      </c>
    </row>
    <row r="15" spans="2:30" x14ac:dyDescent="0.2">
      <c r="G15" s="12"/>
      <c r="J15" s="205" t="s">
        <v>43</v>
      </c>
      <c r="K15" s="23" cm="1">
        <f t="array" ref="K15:X15">wind_project_life</f>
        <v>30</v>
      </c>
      <c r="L15" s="23">
        <v>31</v>
      </c>
      <c r="M15" s="23">
        <v>31</v>
      </c>
      <c r="N15" s="23">
        <v>32</v>
      </c>
      <c r="O15" s="23">
        <v>32</v>
      </c>
      <c r="P15" s="23">
        <v>33</v>
      </c>
      <c r="Q15" s="23">
        <v>34</v>
      </c>
      <c r="R15" s="23">
        <v>34</v>
      </c>
      <c r="S15" s="23">
        <v>35</v>
      </c>
      <c r="T15" s="23">
        <v>35</v>
      </c>
      <c r="U15" s="23">
        <v>36</v>
      </c>
      <c r="V15" s="23">
        <v>36</v>
      </c>
      <c r="W15" s="23">
        <v>37</v>
      </c>
      <c r="X15" s="23">
        <v>40</v>
      </c>
      <c r="AB15" s="12">
        <v>9</v>
      </c>
      <c r="AC15" s="18" t="s">
        <v>202</v>
      </c>
      <c r="AD15" s="51"/>
    </row>
    <row r="16" spans="2:30" x14ac:dyDescent="0.2">
      <c r="G16" s="12"/>
      <c r="J16" s="205" t="s">
        <v>205</v>
      </c>
      <c r="K16" s="41" cm="1">
        <f t="array" ref="K16">INDEX(jurisdictional_inputs,_xlfn.XMATCH($J$16,jurisdictional_inputs_rows),_xlfn.XMATCH(selected.location,jurisdictions))</f>
        <v>0.4</v>
      </c>
      <c r="L16" s="41" cm="1">
        <f t="array" ref="L16">INDEX(jurisdictional_inputs,_xlfn.XMATCH($J$16,jurisdictional_inputs_rows),_xlfn.XMATCH(selected.location,jurisdictions))</f>
        <v>0.4</v>
      </c>
      <c r="M16" s="41" cm="1">
        <f t="array" ref="M16">INDEX(jurisdictional_inputs,_xlfn.XMATCH($J$16,jurisdictional_inputs_rows),_xlfn.XMATCH(selected.location,jurisdictions))</f>
        <v>0.4</v>
      </c>
      <c r="N16" s="41" cm="1">
        <f t="array" ref="N16">INDEX(jurisdictional_inputs,_xlfn.XMATCH($J$16,jurisdictional_inputs_rows),_xlfn.XMATCH(selected.location,jurisdictions))</f>
        <v>0.4</v>
      </c>
      <c r="O16" s="41" cm="1">
        <f t="array" ref="O16">INDEX(jurisdictional_inputs,_xlfn.XMATCH($J$16,jurisdictional_inputs_rows),_xlfn.XMATCH(selected.location,jurisdictions))</f>
        <v>0.4</v>
      </c>
      <c r="P16" s="41" cm="1">
        <f t="array" ref="P16">INDEX(jurisdictional_inputs,_xlfn.XMATCH($J$16,jurisdictional_inputs_rows),_xlfn.XMATCH(selected.location,jurisdictions))</f>
        <v>0.4</v>
      </c>
      <c r="Q16" s="41" cm="1">
        <f t="array" ref="Q16">INDEX(jurisdictional_inputs,_xlfn.XMATCH($J$16,jurisdictional_inputs_rows),_xlfn.XMATCH(selected.location,jurisdictions))</f>
        <v>0.4</v>
      </c>
      <c r="R16" s="41" cm="1">
        <f t="array" ref="R16">INDEX(jurisdictional_inputs,_xlfn.XMATCH($J$16,jurisdictional_inputs_rows),_xlfn.XMATCH(selected.location,jurisdictions))</f>
        <v>0.4</v>
      </c>
      <c r="S16" s="41" cm="1">
        <f t="array" ref="S16">INDEX(jurisdictional_inputs,_xlfn.XMATCH($J$16,jurisdictional_inputs_rows),_xlfn.XMATCH(selected.location,jurisdictions))</f>
        <v>0.4</v>
      </c>
      <c r="T16" s="41" cm="1">
        <f t="array" ref="T16">INDEX(jurisdictional_inputs,_xlfn.XMATCH($J$16,jurisdictional_inputs_rows),_xlfn.XMATCH(selected.location,jurisdictions))</f>
        <v>0.4</v>
      </c>
      <c r="U16" s="41" cm="1">
        <f t="array" ref="U16">INDEX(jurisdictional_inputs,_xlfn.XMATCH($J$16,jurisdictional_inputs_rows),_xlfn.XMATCH(selected.location,jurisdictions))</f>
        <v>0.4</v>
      </c>
      <c r="V16" s="41" cm="1">
        <f t="array" ref="V16">INDEX(jurisdictional_inputs,_xlfn.XMATCH($J$16,jurisdictional_inputs_rows),_xlfn.XMATCH(selected.location,jurisdictions))</f>
        <v>0.4</v>
      </c>
      <c r="W16" s="41" cm="1">
        <f t="array" ref="W16">INDEX(jurisdictional_inputs,_xlfn.XMATCH($J$16,jurisdictional_inputs_rows),_xlfn.XMATCH(selected.location,jurisdictions))</f>
        <v>0.4</v>
      </c>
      <c r="X16" s="41" cm="1">
        <f t="array" ref="X16">INDEX(jurisdictional_inputs,_xlfn.XMATCH($J$16,jurisdictional_inputs_rows),_xlfn.XMATCH(selected.location,jurisdictions))</f>
        <v>0.4</v>
      </c>
      <c r="AB16" s="12">
        <v>10</v>
      </c>
      <c r="AC16" s="18" t="s">
        <v>70</v>
      </c>
      <c r="AD16" s="51"/>
    </row>
    <row r="17" spans="6:30" x14ac:dyDescent="0.2">
      <c r="F17" s="157"/>
      <c r="J17" s="205" t="s">
        <v>193</v>
      </c>
      <c r="K17" s="41" cm="1">
        <f t="array" ref="K17:X17">_xlfn.ANCHORARRAY(K149)</f>
        <v>0.3724200913242009</v>
      </c>
      <c r="L17" s="41">
        <v>0.37278538812785389</v>
      </c>
      <c r="M17" s="41">
        <v>0.37315068493150688</v>
      </c>
      <c r="N17" s="41">
        <v>0.37351598173515982</v>
      </c>
      <c r="O17" s="41">
        <v>0.37388127853881276</v>
      </c>
      <c r="P17" s="41">
        <v>0.37424657534246575</v>
      </c>
      <c r="Q17" s="41">
        <v>0.37461187214611869</v>
      </c>
      <c r="R17" s="41">
        <v>0.37497716894977173</v>
      </c>
      <c r="S17" s="41">
        <v>0.37534246575342467</v>
      </c>
      <c r="T17" s="41">
        <v>0.3757077625570775</v>
      </c>
      <c r="U17" s="41">
        <v>0.37607305936073054</v>
      </c>
      <c r="V17" s="41">
        <v>0.37643835616438354</v>
      </c>
      <c r="W17" s="41">
        <v>0.37680365296803642</v>
      </c>
      <c r="X17" s="41">
        <v>0.37716894977168947</v>
      </c>
      <c r="AB17" s="12">
        <v>11</v>
      </c>
      <c r="AC17" s="18"/>
      <c r="AD17" s="51"/>
    </row>
    <row r="18" spans="6:30" x14ac:dyDescent="0.2">
      <c r="F18" s="157"/>
      <c r="I18" s="19" t="s">
        <v>170</v>
      </c>
      <c r="J18" s="212"/>
      <c r="AB18" s="12">
        <v>12</v>
      </c>
      <c r="AC18" s="18"/>
      <c r="AD18" s="51"/>
    </row>
    <row r="19" spans="6:30" x14ac:dyDescent="0.2">
      <c r="F19" s="157"/>
      <c r="J19" s="212" t="s">
        <v>276</v>
      </c>
      <c r="K19" s="61">
        <v>0.6</v>
      </c>
      <c r="L19" s="61">
        <v>0.6</v>
      </c>
      <c r="M19" s="61">
        <v>0.6</v>
      </c>
      <c r="N19" s="61">
        <v>0.6</v>
      </c>
      <c r="O19" s="61">
        <v>0.6</v>
      </c>
      <c r="P19" s="61">
        <v>0.6</v>
      </c>
      <c r="Q19" s="61">
        <v>0.6</v>
      </c>
      <c r="R19" s="61">
        <v>0.6</v>
      </c>
      <c r="S19" s="61">
        <v>0.6</v>
      </c>
      <c r="T19" s="61">
        <v>0.6</v>
      </c>
      <c r="U19" s="61">
        <v>0.6</v>
      </c>
      <c r="V19" s="61">
        <v>0.6</v>
      </c>
      <c r="W19" s="61">
        <v>0.6</v>
      </c>
      <c r="X19" s="61">
        <v>0.6</v>
      </c>
      <c r="AB19" s="12">
        <v>13</v>
      </c>
      <c r="AC19" s="18" t="s">
        <v>36</v>
      </c>
      <c r="AD19" s="51"/>
    </row>
    <row r="20" spans="6:30" x14ac:dyDescent="0.2">
      <c r="F20" s="157"/>
      <c r="J20" s="212" t="s">
        <v>35</v>
      </c>
      <c r="K20" s="23">
        <f>K19*K12</f>
        <v>120</v>
      </c>
      <c r="L20" s="23">
        <f t="shared" ref="L20:X20" si="1">L19*L12</f>
        <v>120</v>
      </c>
      <c r="M20" s="23">
        <f t="shared" si="1"/>
        <v>120</v>
      </c>
      <c r="N20" s="23">
        <f t="shared" si="1"/>
        <v>120</v>
      </c>
      <c r="O20" s="23">
        <f t="shared" si="1"/>
        <v>120</v>
      </c>
      <c r="P20" s="23">
        <f t="shared" si="1"/>
        <v>120</v>
      </c>
      <c r="Q20" s="23">
        <f t="shared" si="1"/>
        <v>120</v>
      </c>
      <c r="R20" s="23">
        <f t="shared" si="1"/>
        <v>120</v>
      </c>
      <c r="S20" s="23">
        <f t="shared" si="1"/>
        <v>120</v>
      </c>
      <c r="T20" s="23">
        <f t="shared" si="1"/>
        <v>120</v>
      </c>
      <c r="U20" s="23">
        <f t="shared" si="1"/>
        <v>120</v>
      </c>
      <c r="V20" s="23">
        <f t="shared" si="1"/>
        <v>120</v>
      </c>
      <c r="W20" s="23">
        <f t="shared" si="1"/>
        <v>120</v>
      </c>
      <c r="X20" s="23">
        <f t="shared" si="1"/>
        <v>120</v>
      </c>
      <c r="AB20" s="12">
        <v>14</v>
      </c>
      <c r="AC20" s="18" t="s">
        <v>190</v>
      </c>
      <c r="AD20" s="51"/>
    </row>
    <row r="21" spans="6:30" x14ac:dyDescent="0.2">
      <c r="F21" s="157"/>
      <c r="J21" s="212" t="s">
        <v>37</v>
      </c>
      <c r="K21" s="33">
        <f t="shared" ref="K21:X21" si="2">es.selected.duration</f>
        <v>8</v>
      </c>
      <c r="L21" s="33">
        <f t="shared" si="2"/>
        <v>8</v>
      </c>
      <c r="M21" s="33">
        <f t="shared" si="2"/>
        <v>8</v>
      </c>
      <c r="N21" s="33">
        <f t="shared" si="2"/>
        <v>8</v>
      </c>
      <c r="O21" s="33">
        <f t="shared" si="2"/>
        <v>8</v>
      </c>
      <c r="P21" s="33">
        <f t="shared" si="2"/>
        <v>8</v>
      </c>
      <c r="Q21" s="33">
        <f t="shared" si="2"/>
        <v>8</v>
      </c>
      <c r="R21" s="33">
        <f t="shared" si="2"/>
        <v>8</v>
      </c>
      <c r="S21" s="33">
        <f t="shared" si="2"/>
        <v>8</v>
      </c>
      <c r="T21" s="33">
        <f t="shared" si="2"/>
        <v>8</v>
      </c>
      <c r="U21" s="33">
        <f t="shared" si="2"/>
        <v>8</v>
      </c>
      <c r="V21" s="33">
        <f t="shared" si="2"/>
        <v>8</v>
      </c>
      <c r="W21" s="33">
        <f t="shared" si="2"/>
        <v>8</v>
      </c>
      <c r="X21" s="33">
        <f t="shared" si="2"/>
        <v>8</v>
      </c>
      <c r="AB21" s="12">
        <v>15</v>
      </c>
      <c r="AC21" s="18" t="s">
        <v>36</v>
      </c>
      <c r="AD21" s="51"/>
    </row>
    <row r="22" spans="6:30" x14ac:dyDescent="0.2">
      <c r="F22" s="157"/>
      <c r="J22" s="212" t="s">
        <v>38</v>
      </c>
      <c r="K22" s="33">
        <f>K20*K21</f>
        <v>960</v>
      </c>
      <c r="L22" s="33">
        <f t="shared" ref="L22:X22" si="3">L20*L21</f>
        <v>960</v>
      </c>
      <c r="M22" s="33">
        <f t="shared" si="3"/>
        <v>960</v>
      </c>
      <c r="N22" s="33">
        <f t="shared" si="3"/>
        <v>960</v>
      </c>
      <c r="O22" s="33">
        <f t="shared" si="3"/>
        <v>960</v>
      </c>
      <c r="P22" s="33">
        <f t="shared" si="3"/>
        <v>960</v>
      </c>
      <c r="Q22" s="33">
        <f t="shared" si="3"/>
        <v>960</v>
      </c>
      <c r="R22" s="33">
        <f t="shared" si="3"/>
        <v>960</v>
      </c>
      <c r="S22" s="33">
        <f t="shared" si="3"/>
        <v>960</v>
      </c>
      <c r="T22" s="33">
        <f t="shared" si="3"/>
        <v>960</v>
      </c>
      <c r="U22" s="33">
        <f t="shared" si="3"/>
        <v>960</v>
      </c>
      <c r="V22" s="33">
        <f t="shared" si="3"/>
        <v>960</v>
      </c>
      <c r="W22" s="33">
        <f t="shared" si="3"/>
        <v>960</v>
      </c>
      <c r="X22" s="33">
        <f t="shared" si="3"/>
        <v>960</v>
      </c>
      <c r="AB22" s="12">
        <v>16</v>
      </c>
      <c r="AC22" s="18" t="s">
        <v>190</v>
      </c>
      <c r="AD22" s="51"/>
    </row>
    <row r="23" spans="6:30" x14ac:dyDescent="0.2">
      <c r="F23" s="157"/>
      <c r="J23" s="212" t="s">
        <v>39</v>
      </c>
      <c r="K23" s="44">
        <f t="shared" ref="K23:X23" si="4">K22/K134</f>
        <v>7200</v>
      </c>
      <c r="L23" s="44">
        <f t="shared" si="4"/>
        <v>6699.6978851963759</v>
      </c>
      <c r="M23" s="44">
        <f t="shared" si="4"/>
        <v>6264.4067796610161</v>
      </c>
      <c r="N23" s="44">
        <f t="shared" si="4"/>
        <v>5882.2281167108749</v>
      </c>
      <c r="O23" s="44">
        <f t="shared" si="4"/>
        <v>5543.9999999999991</v>
      </c>
      <c r="P23" s="44">
        <f t="shared" si="4"/>
        <v>5242.5531914893609</v>
      </c>
      <c r="Q23" s="44">
        <f t="shared" si="4"/>
        <v>4972.1973094170389</v>
      </c>
      <c r="R23" s="44">
        <f t="shared" si="4"/>
        <v>4728.3582089552228</v>
      </c>
      <c r="S23" s="44">
        <f t="shared" si="4"/>
        <v>4507.3170731707305</v>
      </c>
      <c r="T23" s="44">
        <f t="shared" si="4"/>
        <v>4306.0194174757271</v>
      </c>
      <c r="U23" s="44">
        <f t="shared" si="4"/>
        <v>4121.9330855018579</v>
      </c>
      <c r="V23" s="44">
        <f t="shared" si="4"/>
        <v>3952.9411764705869</v>
      </c>
      <c r="W23" s="44">
        <f t="shared" si="4"/>
        <v>3797.2602739726008</v>
      </c>
      <c r="X23" s="44">
        <f t="shared" si="4"/>
        <v>3519.9999999999995</v>
      </c>
      <c r="AB23" s="12">
        <v>17</v>
      </c>
      <c r="AC23" s="18" t="s">
        <v>190</v>
      </c>
      <c r="AD23" s="51"/>
    </row>
    <row r="24" spans="6:30" x14ac:dyDescent="0.2">
      <c r="F24" s="157"/>
      <c r="J24" s="212" t="s">
        <v>41</v>
      </c>
      <c r="K24" s="61">
        <v>0.8</v>
      </c>
      <c r="L24" s="61">
        <v>0.8</v>
      </c>
      <c r="M24" s="61">
        <v>0.8</v>
      </c>
      <c r="N24" s="61">
        <v>0.8</v>
      </c>
      <c r="O24" s="61">
        <v>0.8</v>
      </c>
      <c r="P24" s="61">
        <v>0.8</v>
      </c>
      <c r="Q24" s="61">
        <v>0.8</v>
      </c>
      <c r="R24" s="61">
        <v>0.8</v>
      </c>
      <c r="S24" s="61">
        <v>0.8</v>
      </c>
      <c r="T24" s="61">
        <v>0.8</v>
      </c>
      <c r="U24" s="61">
        <v>0.8</v>
      </c>
      <c r="V24" s="61">
        <v>0.8</v>
      </c>
      <c r="W24" s="61">
        <v>0.8</v>
      </c>
      <c r="X24" s="61">
        <v>0.8</v>
      </c>
      <c r="AB24" s="12">
        <v>18</v>
      </c>
      <c r="AC24" s="18" t="s">
        <v>36</v>
      </c>
      <c r="AD24" s="51"/>
    </row>
    <row r="25" spans="6:30" x14ac:dyDescent="0.2">
      <c r="F25" s="157"/>
      <c r="J25" s="212" t="s">
        <v>43</v>
      </c>
      <c r="K25" s="23">
        <v>16</v>
      </c>
      <c r="L25" s="23">
        <v>16</v>
      </c>
      <c r="M25" s="23">
        <v>16</v>
      </c>
      <c r="N25" s="23">
        <v>16</v>
      </c>
      <c r="O25" s="23">
        <v>16</v>
      </c>
      <c r="P25" s="23">
        <v>16</v>
      </c>
      <c r="Q25" s="23">
        <v>16</v>
      </c>
      <c r="R25" s="23">
        <v>16</v>
      </c>
      <c r="S25" s="23">
        <v>16</v>
      </c>
      <c r="T25" s="23">
        <v>16</v>
      </c>
      <c r="U25" s="23">
        <v>16</v>
      </c>
      <c r="V25" s="23">
        <v>16</v>
      </c>
      <c r="W25" s="23">
        <v>16</v>
      </c>
      <c r="X25" s="23">
        <v>16</v>
      </c>
      <c r="AB25" s="12">
        <v>19</v>
      </c>
      <c r="AC25" s="18" t="s">
        <v>36</v>
      </c>
      <c r="AD25" s="51"/>
    </row>
    <row r="26" spans="6:30" x14ac:dyDescent="0.2">
      <c r="F26" s="157"/>
      <c r="J26" s="212" t="s">
        <v>44</v>
      </c>
      <c r="K26" s="41">
        <f>300*K22*85%/(K20*8760)</f>
        <v>0.23287671232876711</v>
      </c>
      <c r="L26" s="41">
        <f t="shared" ref="L26:X26" si="5">300*L22*85%/(L20*8760)</f>
        <v>0.23287671232876711</v>
      </c>
      <c r="M26" s="41">
        <f t="shared" si="5"/>
        <v>0.23287671232876711</v>
      </c>
      <c r="N26" s="41">
        <f t="shared" si="5"/>
        <v>0.23287671232876711</v>
      </c>
      <c r="O26" s="41">
        <f t="shared" si="5"/>
        <v>0.23287671232876711</v>
      </c>
      <c r="P26" s="41">
        <f t="shared" si="5"/>
        <v>0.23287671232876711</v>
      </c>
      <c r="Q26" s="41">
        <f t="shared" si="5"/>
        <v>0.23287671232876711</v>
      </c>
      <c r="R26" s="41">
        <f t="shared" si="5"/>
        <v>0.23287671232876711</v>
      </c>
      <c r="S26" s="41">
        <f t="shared" si="5"/>
        <v>0.23287671232876711</v>
      </c>
      <c r="T26" s="41">
        <f t="shared" si="5"/>
        <v>0.23287671232876711</v>
      </c>
      <c r="U26" s="41">
        <f t="shared" si="5"/>
        <v>0.23287671232876711</v>
      </c>
      <c r="V26" s="41">
        <f t="shared" si="5"/>
        <v>0.23287671232876711</v>
      </c>
      <c r="W26" s="41">
        <f t="shared" si="5"/>
        <v>0.23287671232876711</v>
      </c>
      <c r="X26" s="41">
        <f t="shared" si="5"/>
        <v>0.23287671232876711</v>
      </c>
      <c r="AB26" s="12">
        <v>20</v>
      </c>
      <c r="AC26" s="18" t="s">
        <v>190</v>
      </c>
      <c r="AD26" s="51"/>
    </row>
    <row r="27" spans="6:30" x14ac:dyDescent="0.2">
      <c r="F27" s="157"/>
      <c r="J27" s="212"/>
      <c r="AB27" s="12">
        <v>21</v>
      </c>
      <c r="AC27" s="18"/>
      <c r="AD27" s="51"/>
    </row>
    <row r="28" spans="6:30" x14ac:dyDescent="0.2">
      <c r="F28" s="157"/>
      <c r="J28" s="212"/>
      <c r="AB28" s="12">
        <v>22</v>
      </c>
      <c r="AC28" s="18"/>
      <c r="AD28" s="51"/>
    </row>
    <row r="29" spans="6:30" x14ac:dyDescent="0.2">
      <c r="F29" s="156" t="s">
        <v>45</v>
      </c>
      <c r="K29" s="23"/>
      <c r="AB29" s="12">
        <v>23</v>
      </c>
      <c r="AC29" s="18"/>
      <c r="AD29" s="51"/>
    </row>
    <row r="30" spans="6:30" x14ac:dyDescent="0.2">
      <c r="G30" s="12"/>
      <c r="J30" s="236" t="s">
        <v>46</v>
      </c>
      <c r="K30" s="162" cm="1">
        <f t="array" ref="K30:X30">wind.total.capex_equip_CADmil
+wind.total.capex_install_CADmil
+wind.total.capex_soft_CADmil
+K56:X56</f>
        <v>1063.1877191734084</v>
      </c>
      <c r="L30" s="162">
        <v>1008.1398338487943</v>
      </c>
      <c r="M30" s="162">
        <v>962.75619400417793</v>
      </c>
      <c r="N30" s="162">
        <v>922.66543211143767</v>
      </c>
      <c r="O30" s="162">
        <v>885.76973009139965</v>
      </c>
      <c r="P30" s="162">
        <v>861.9547727159877</v>
      </c>
      <c r="Q30" s="162">
        <v>839.29310779196635</v>
      </c>
      <c r="R30" s="162">
        <v>817.20367760721581</v>
      </c>
      <c r="S30" s="162">
        <v>795.25382157506397</v>
      </c>
      <c r="T30" s="162">
        <v>773.12169348549014</v>
      </c>
      <c r="U30" s="162">
        <v>758.08414268235674</v>
      </c>
      <c r="V30" s="162">
        <v>735.00995030111631</v>
      </c>
      <c r="W30" s="162">
        <v>718.99430647974191</v>
      </c>
      <c r="X30" s="162">
        <v>692.63765611016152</v>
      </c>
      <c r="AB30" s="12">
        <v>24</v>
      </c>
      <c r="AC30" s="18" t="s">
        <v>277</v>
      </c>
      <c r="AD30" s="51"/>
    </row>
    <row r="31" spans="6:30" x14ac:dyDescent="0.2">
      <c r="G31" s="12"/>
      <c r="J31" s="236" t="s">
        <v>48</v>
      </c>
      <c r="K31" s="162" cm="1">
        <f t="array" ref="K31:X31">_xlfn.ANCHORARRAY(K81)</f>
        <v>16.746113677012236</v>
      </c>
      <c r="L31" s="162">
        <v>15.809290676840064</v>
      </c>
      <c r="M31" s="162">
        <v>14.95957331758849</v>
      </c>
      <c r="N31" s="162">
        <v>14.152359794251804</v>
      </c>
      <c r="O31" s="162">
        <v>13.373672385125495</v>
      </c>
      <c r="P31" s="162">
        <v>12.819996403193972</v>
      </c>
      <c r="Q31" s="162">
        <v>12.281438155525318</v>
      </c>
      <c r="R31" s="162">
        <v>11.756015202780924</v>
      </c>
      <c r="S31" s="162">
        <v>11.242448830939697</v>
      </c>
      <c r="T31" s="162">
        <v>10.762464485469796</v>
      </c>
      <c r="U31" s="162">
        <v>10.484823208091841</v>
      </c>
      <c r="V31" s="162">
        <v>10.019403523559713</v>
      </c>
      <c r="W31" s="162">
        <v>9.7527328654295555</v>
      </c>
      <c r="X31" s="162">
        <v>9.3004482306785956</v>
      </c>
      <c r="AB31" s="12">
        <v>25</v>
      </c>
      <c r="AC31" s="18" t="s">
        <v>278</v>
      </c>
      <c r="AD31" s="51"/>
    </row>
    <row r="32" spans="6:30" x14ac:dyDescent="0.2">
      <c r="G32" s="12"/>
      <c r="J32" s="206"/>
      <c r="K32" s="26"/>
      <c r="L32" s="26"/>
      <c r="M32" s="26"/>
      <c r="N32" s="26"/>
      <c r="O32" s="26"/>
      <c r="P32" s="26"/>
      <c r="Q32" s="26"/>
      <c r="R32" s="26"/>
      <c r="S32" s="26"/>
      <c r="T32" s="26"/>
      <c r="U32" s="26"/>
      <c r="V32" s="26"/>
      <c r="W32" s="26"/>
      <c r="X32" s="26"/>
      <c r="AB32" s="12">
        <v>26</v>
      </c>
      <c r="AC32" s="18"/>
      <c r="AD32" s="51"/>
    </row>
    <row r="33" spans="5:34" x14ac:dyDescent="0.2">
      <c r="F33" s="156" t="s">
        <v>50</v>
      </c>
      <c r="G33" s="19"/>
      <c r="H33" s="12"/>
      <c r="K33" s="152"/>
      <c r="L33" s="152"/>
      <c r="M33" s="152"/>
      <c r="N33" s="152"/>
      <c r="O33" s="152"/>
      <c r="P33" s="152"/>
      <c r="Q33" s="152"/>
      <c r="R33" s="152"/>
      <c r="S33" s="152"/>
      <c r="T33" s="152"/>
      <c r="U33" s="152"/>
      <c r="V33" s="152"/>
      <c r="W33" s="152"/>
      <c r="X33" s="152"/>
      <c r="AB33" s="12">
        <v>27</v>
      </c>
      <c r="AC33" s="18"/>
      <c r="AD33" s="51"/>
    </row>
    <row r="34" spans="5:34" x14ac:dyDescent="0.2">
      <c r="G34" s="19" t="str">
        <f>"CAPEX (2022$M) - "&amp;selected.location</f>
        <v>CAPEX (2022$M) - Ontario</v>
      </c>
      <c r="K34" s="152"/>
      <c r="AB34" s="12">
        <v>28</v>
      </c>
      <c r="AC34" s="18"/>
      <c r="AD34" s="51"/>
    </row>
    <row r="35" spans="5:34" x14ac:dyDescent="0.2">
      <c r="G35" s="156" t="s">
        <v>279</v>
      </c>
      <c r="K35" s="152"/>
      <c r="AB35" s="12">
        <v>29</v>
      </c>
      <c r="AC35" s="18"/>
      <c r="AD35" s="51"/>
    </row>
    <row r="36" spans="5:34" x14ac:dyDescent="0.2">
      <c r="H36" s="19" t="str">
        <f>"Equipment (2022$M)"&amp;IF(ITC.toggle="Yes"," - ITC Enabled","")</f>
        <v>Equipment (2022$M)</v>
      </c>
      <c r="I36" s="43"/>
      <c r="K36" s="151" cm="1">
        <f t="array" ref="K36:X36">(_xlfn.ANCHORARRAY(K38)+_xlfn.ANCHORARRAY(K39)+_xlfn.ANCHORARRAY(K40)+_xlfn.ANCHORARRAY(K41)+_xlfn.ANCHORARRAY(K42))*IF(ITC.toggle="Yes",(1-Forecast.ITC.Equipment),1)</f>
        <v>254.05354269140369</v>
      </c>
      <c r="L36" s="151">
        <v>249.02944286937816</v>
      </c>
      <c r="M36" s="151">
        <v>243.53158844111954</v>
      </c>
      <c r="N36" s="151">
        <v>237.41807104790021</v>
      </c>
      <c r="O36" s="151">
        <v>230.55088078838054</v>
      </c>
      <c r="P36" s="151">
        <v>227.34923594402565</v>
      </c>
      <c r="Q36" s="151">
        <v>223.36887989949503</v>
      </c>
      <c r="R36" s="151">
        <v>218.49394130584841</v>
      </c>
      <c r="S36" s="151">
        <v>212.62665813782004</v>
      </c>
      <c r="T36" s="151">
        <v>205.693844337917</v>
      </c>
      <c r="U36" s="151">
        <v>202.59438665637038</v>
      </c>
      <c r="V36" s="151">
        <v>193.45860062323328</v>
      </c>
      <c r="W36" s="151">
        <v>188.32281092938189</v>
      </c>
      <c r="X36" s="151">
        <v>178.11988734275238</v>
      </c>
      <c r="AB36" s="12">
        <v>30</v>
      </c>
      <c r="AC36" s="18"/>
      <c r="AD36" s="51"/>
    </row>
    <row r="37" spans="5:34" x14ac:dyDescent="0.2">
      <c r="E37" s="152"/>
      <c r="G37" s="19"/>
      <c r="H37" s="12"/>
      <c r="I37" s="19" t="s">
        <v>207</v>
      </c>
      <c r="AB37" s="12">
        <v>31</v>
      </c>
      <c r="AC37" s="18"/>
      <c r="AD37" s="51"/>
    </row>
    <row r="38" spans="5:34" x14ac:dyDescent="0.2">
      <c r="E38" s="267"/>
      <c r="G38" s="12"/>
      <c r="J38" s="207" t="s">
        <v>208</v>
      </c>
      <c r="K38" s="155" cm="1">
        <f t="array" ref="K38:X38">_xlfn.ANCHORARRAY(K101)*wind_selected.num.turbine</f>
        <v>48.12204473226749</v>
      </c>
      <c r="L38" s="155">
        <v>50.253075179378804</v>
      </c>
      <c r="M38" s="155">
        <v>52.218067917919754</v>
      </c>
      <c r="N38" s="155">
        <v>53.890846817742315</v>
      </c>
      <c r="O38" s="155">
        <v>55.14730551454015</v>
      </c>
      <c r="P38" s="155">
        <v>57.01080439768662</v>
      </c>
      <c r="Q38" s="155">
        <v>58.389870512084286</v>
      </c>
      <c r="R38" s="155">
        <v>59.181680663410781</v>
      </c>
      <c r="S38" s="155">
        <v>59.297474885265544</v>
      </c>
      <c r="T38" s="155">
        <v>58.667845208924561</v>
      </c>
      <c r="U38" s="155">
        <v>58.678976386482795</v>
      </c>
      <c r="V38" s="155">
        <v>56.469105222097788</v>
      </c>
      <c r="W38" s="155">
        <v>55.021179447172202</v>
      </c>
      <c r="X38" s="155">
        <v>52.125327897321036</v>
      </c>
      <c r="AB38" s="12">
        <v>32</v>
      </c>
      <c r="AC38" s="18" t="s">
        <v>209</v>
      </c>
      <c r="AD38" s="51"/>
    </row>
    <row r="39" spans="5:34" x14ac:dyDescent="0.2">
      <c r="E39" s="267"/>
      <c r="G39" s="43"/>
      <c r="H39" s="43"/>
      <c r="J39" s="208" t="s">
        <v>210</v>
      </c>
      <c r="K39" s="155" cm="1">
        <f t="array" ref="K39:X39">(_xlfn.ANCHORARRAY(K102)+_xlfn.ANCHORARRAY(K103))*wind_selected.num.turbine</f>
        <v>29.747404690276696</v>
      </c>
      <c r="L39" s="155">
        <v>28.352995095419974</v>
      </c>
      <c r="M39" s="155">
        <v>26.958585500563256</v>
      </c>
      <c r="N39" s="155">
        <v>25.564175905706534</v>
      </c>
      <c r="O39" s="155">
        <v>24.169766310849816</v>
      </c>
      <c r="P39" s="155">
        <v>23.240159914278667</v>
      </c>
      <c r="Q39" s="155">
        <v>22.310553517707522</v>
      </c>
      <c r="R39" s="155">
        <v>21.380947121136376</v>
      </c>
      <c r="S39" s="155">
        <v>20.451340724565227</v>
      </c>
      <c r="T39" s="155">
        <v>19.521734327994082</v>
      </c>
      <c r="U39" s="155">
        <v>19.056931129708509</v>
      </c>
      <c r="V39" s="155">
        <v>18.12732473313736</v>
      </c>
      <c r="W39" s="155">
        <v>17.662521534851788</v>
      </c>
      <c r="X39" s="155">
        <v>16.732915138280642</v>
      </c>
      <c r="AB39" s="12">
        <v>33</v>
      </c>
      <c r="AC39" s="18" t="s">
        <v>211</v>
      </c>
      <c r="AD39" s="51"/>
    </row>
    <row r="40" spans="5:34" x14ac:dyDescent="0.2">
      <c r="E40" s="267"/>
      <c r="G40" s="12"/>
      <c r="J40" s="207" t="s">
        <v>212</v>
      </c>
      <c r="K40" s="155" cm="1">
        <f t="array" ref="K40:X40">_xlfn.ANCHORARRAY(K106)*wind_selected.num.turbine</f>
        <v>131.65632375282553</v>
      </c>
      <c r="L40" s="155">
        <v>126.12207392227667</v>
      </c>
      <c r="M40" s="155">
        <v>120.35153777074683</v>
      </c>
      <c r="N40" s="155">
        <v>114.36508252290893</v>
      </c>
      <c r="O40" s="155">
        <v>108.18443091223544</v>
      </c>
      <c r="P40" s="155">
        <v>103.91090191190591</v>
      </c>
      <c r="Q40" s="155">
        <v>99.479314681342203</v>
      </c>
      <c r="R40" s="155">
        <v>94.9047763519781</v>
      </c>
      <c r="S40" s="155">
        <v>90.203332018925494</v>
      </c>
      <c r="T40" s="155">
        <v>85.39197986942095</v>
      </c>
      <c r="U40" s="155">
        <v>82.500903469053895</v>
      </c>
      <c r="V40" s="155">
        <v>77.499569551338269</v>
      </c>
      <c r="W40" s="155">
        <v>74.398798722350264</v>
      </c>
      <c r="X40" s="155">
        <v>69.269995343621659</v>
      </c>
      <c r="AB40" s="12">
        <v>34</v>
      </c>
      <c r="AC40" s="18" t="s">
        <v>213</v>
      </c>
      <c r="AD40" s="51"/>
    </row>
    <row r="41" spans="5:34" x14ac:dyDescent="0.2">
      <c r="E41" s="267"/>
      <c r="G41" s="12"/>
      <c r="J41" s="207" t="s">
        <v>214</v>
      </c>
      <c r="K41" s="155" cm="1">
        <f t="array" ref="K41:X41">_xlfn.ANCHORARRAY(K108)*wind_selected.num.turbine</f>
        <v>44.527769516033977</v>
      </c>
      <c r="L41" s="155">
        <v>43.332124512275414</v>
      </c>
      <c r="M41" s="155">
        <v>42.101907261914484</v>
      </c>
      <c r="N41" s="155">
        <v>40.828874146240111</v>
      </c>
      <c r="O41" s="155">
        <v>39.50478154654121</v>
      </c>
      <c r="P41" s="155">
        <v>38.899373310312974</v>
      </c>
      <c r="Q41" s="155">
        <v>38.264810525452731</v>
      </c>
      <c r="R41" s="155">
        <v>37.5955974461531</v>
      </c>
      <c r="S41" s="155">
        <v>36.886238326606687</v>
      </c>
      <c r="T41" s="155">
        <v>36.131237421006105</v>
      </c>
      <c r="U41" s="155">
        <v>36.208226458132579</v>
      </c>
      <c r="V41" s="155">
        <v>35.369230617581664</v>
      </c>
      <c r="W41" s="155">
        <v>35.400616892572486</v>
      </c>
      <c r="X41" s="155">
        <v>34.459306964379962</v>
      </c>
      <c r="AB41" s="12">
        <v>35</v>
      </c>
      <c r="AC41" s="18" t="s">
        <v>215</v>
      </c>
      <c r="AD41" s="51"/>
    </row>
    <row r="42" spans="5:34" x14ac:dyDescent="0.2">
      <c r="G42" s="12"/>
      <c r="J42" s="207" t="s">
        <v>216</v>
      </c>
      <c r="K42" s="155" cm="1">
        <f t="array" ref="K42:X42">_xlfn.ANCHORARRAY(K104)*wind_selected.num.turbine</f>
        <v>0</v>
      </c>
      <c r="L42" s="155">
        <v>0.96917416002730039</v>
      </c>
      <c r="M42" s="155">
        <v>1.9014899899752149</v>
      </c>
      <c r="N42" s="155">
        <v>2.7690916553022915</v>
      </c>
      <c r="O42" s="155">
        <v>3.544596504213918</v>
      </c>
      <c r="P42" s="155">
        <v>4.2879964098414911</v>
      </c>
      <c r="Q42" s="155">
        <v>4.924330662908293</v>
      </c>
      <c r="R42" s="155">
        <v>5.4309397231700283</v>
      </c>
      <c r="S42" s="155">
        <v>5.7882721824570513</v>
      </c>
      <c r="T42" s="155">
        <v>5.9810475105713055</v>
      </c>
      <c r="U42" s="155">
        <v>6.1493492129925915</v>
      </c>
      <c r="V42" s="155">
        <v>5.9933704990781944</v>
      </c>
      <c r="W42" s="155">
        <v>5.8396943324351636</v>
      </c>
      <c r="X42" s="155">
        <v>5.5323419991491027</v>
      </c>
      <c r="AB42" s="12">
        <v>36</v>
      </c>
      <c r="AC42" s="18" t="s">
        <v>217</v>
      </c>
      <c r="AD42" s="51"/>
    </row>
    <row r="43" spans="5:34" x14ac:dyDescent="0.2">
      <c r="E43" s="152"/>
      <c r="F43" s="154"/>
      <c r="G43" s="12"/>
      <c r="H43" s="19" t="str">
        <f>"Installation (2022$M)"&amp;IF(ITC.toggle="Yes"," - ITC Enabled","")</f>
        <v>Installation (2022$M)</v>
      </c>
      <c r="K43" s="151" cm="1">
        <f t="array" ref="K43:X43">(_xlfn.ANCHORARRAY(K44)+_xlfn.ANCHORARRAY(K45)+_xlfn.ANCHORARRAY(K46)+_xlfn.ANCHORARRAY(K47)+_xlfn.ANCHORARRAY(K48)+_xlfn.ANCHORARRAY(K49))*IF(ITC.toggle="Yes",(1-Forecast.ITC.Installation),1)</f>
        <v>86.708767691955174</v>
      </c>
      <c r="L43" s="151">
        <v>82.922578964659522</v>
      </c>
      <c r="M43" s="151">
        <v>79.114309938511411</v>
      </c>
      <c r="N43" s="151">
        <v>75.283239810366439</v>
      </c>
      <c r="O43" s="151">
        <v>71.428627777074041</v>
      </c>
      <c r="P43" s="151">
        <v>68.928278085508566</v>
      </c>
      <c r="Q43" s="151">
        <v>66.41291655638851</v>
      </c>
      <c r="R43" s="151">
        <v>63.882041478300835</v>
      </c>
      <c r="S43" s="151">
        <v>61.335137076111067</v>
      </c>
      <c r="T43" s="151">
        <v>58.771673149098874</v>
      </c>
      <c r="U43" s="151">
        <v>57.595882317750942</v>
      </c>
      <c r="V43" s="151">
        <v>55.003210281628498</v>
      </c>
      <c r="W43" s="151">
        <v>53.808420089509042</v>
      </c>
      <c r="X43" s="151">
        <v>51.184685930419462</v>
      </c>
      <c r="AB43" s="12">
        <v>37</v>
      </c>
      <c r="AC43" s="18" t="s">
        <v>218</v>
      </c>
      <c r="AD43" s="51"/>
    </row>
    <row r="44" spans="5:34" x14ac:dyDescent="0.2">
      <c r="E44" s="267"/>
      <c r="F44" s="154"/>
      <c r="G44" s="12"/>
      <c r="J44" s="205" t="s">
        <v>219</v>
      </c>
      <c r="K44" s="155" cm="1">
        <f t="array" ref="K44:X44">K111:X111*wind_selected.num.turbine</f>
        <v>4.9148800420022249</v>
      </c>
      <c r="L44" s="155">
        <v>4.7643656804659393</v>
      </c>
      <c r="M44" s="155">
        <v>4.607514041885497</v>
      </c>
      <c r="N44" s="155">
        <v>4.4441182482086266</v>
      </c>
      <c r="O44" s="155">
        <v>4.2739656811717914</v>
      </c>
      <c r="P44" s="155">
        <v>4.1804467708601472</v>
      </c>
      <c r="Q44" s="155">
        <v>4.082619305933326</v>
      </c>
      <c r="R44" s="155">
        <v>3.9803392899607681</v>
      </c>
      <c r="S44" s="155">
        <v>3.8734586900765375</v>
      </c>
      <c r="T44" s="155">
        <v>3.7618253331204787</v>
      </c>
      <c r="U44" s="155">
        <v>3.7364148692205852</v>
      </c>
      <c r="V44" s="155">
        <v>3.6163984790182715</v>
      </c>
      <c r="W44" s="155">
        <v>3.5855349995738206</v>
      </c>
      <c r="X44" s="155">
        <v>3.456603454729005</v>
      </c>
      <c r="AB44" s="12">
        <v>38</v>
      </c>
      <c r="AC44" s="18" t="s">
        <v>220</v>
      </c>
      <c r="AD44" s="51"/>
    </row>
    <row r="45" spans="5:34" x14ac:dyDescent="0.2">
      <c r="E45" s="267"/>
      <c r="F45" s="154"/>
      <c r="G45" s="12"/>
      <c r="J45" s="205" t="s">
        <v>221</v>
      </c>
      <c r="K45" s="155" cm="1">
        <f t="array" ref="K45:X45">K112:X112*wind_selected.num.turbine</f>
        <v>2.9285168638414913</v>
      </c>
      <c r="L45" s="155">
        <v>2.8400893819762776</v>
      </c>
      <c r="M45" s="155">
        <v>2.747786191074074</v>
      </c>
      <c r="N45" s="155">
        <v>2.6514807700547465</v>
      </c>
      <c r="O45" s="155">
        <v>2.5510430872785723</v>
      </c>
      <c r="P45" s="155">
        <v>2.4962648068696782</v>
      </c>
      <c r="Q45" s="155">
        <v>2.4388515297670863</v>
      </c>
      <c r="R45" s="155">
        <v>2.3787151916076112</v>
      </c>
      <c r="S45" s="155">
        <v>2.3157652594522204</v>
      </c>
      <c r="T45" s="155">
        <v>2.2499086682687399</v>
      </c>
      <c r="U45" s="155">
        <v>2.2355759997578422</v>
      </c>
      <c r="V45" s="155">
        <v>2.1645925697943134</v>
      </c>
      <c r="W45" s="155">
        <v>2.146924982914276</v>
      </c>
      <c r="X45" s="155">
        <v>2.0704892829658075</v>
      </c>
      <c r="AB45" s="12">
        <v>39</v>
      </c>
      <c r="AC45" s="18" t="s">
        <v>222</v>
      </c>
      <c r="AD45" s="51"/>
      <c r="AH45" s="160"/>
    </row>
    <row r="46" spans="5:34" x14ac:dyDescent="0.2">
      <c r="E46" s="267"/>
      <c r="F46" s="154"/>
      <c r="G46" s="12"/>
      <c r="J46" s="205" t="s">
        <v>223</v>
      </c>
      <c r="K46" s="155" cm="1">
        <f t="array" ref="K46:X46">K113:X113*wind_selected.num.turbine</f>
        <v>20.944044710414559</v>
      </c>
      <c r="L46" s="155">
        <v>20.042141785072335</v>
      </c>
      <c r="M46" s="155">
        <v>19.133903286205207</v>
      </c>
      <c r="N46" s="155">
        <v>18.219122391371663</v>
      </c>
      <c r="O46" s="155">
        <v>17.297586539461935</v>
      </c>
      <c r="P46" s="155">
        <v>16.703140085592104</v>
      </c>
      <c r="Q46" s="155">
        <v>16.104386235286814</v>
      </c>
      <c r="R46" s="155">
        <v>15.501181030823089</v>
      </c>
      <c r="S46" s="155">
        <v>14.893376479127623</v>
      </c>
      <c r="T46" s="155">
        <v>14.280820447945812</v>
      </c>
      <c r="U46" s="155">
        <v>14.004940473458584</v>
      </c>
      <c r="V46" s="155">
        <v>13.38400366246815</v>
      </c>
      <c r="W46" s="155">
        <v>13.102672138257869</v>
      </c>
      <c r="X46" s="155">
        <v>12.472822569101769</v>
      </c>
      <c r="AB46" s="12">
        <v>40</v>
      </c>
      <c r="AC46" s="18" t="s">
        <v>224</v>
      </c>
      <c r="AD46" s="51"/>
      <c r="AH46" s="160"/>
    </row>
    <row r="47" spans="5:34" x14ac:dyDescent="0.2">
      <c r="E47" s="267"/>
      <c r="F47" s="154"/>
      <c r="G47" s="12"/>
      <c r="J47" s="205" t="s">
        <v>225</v>
      </c>
      <c r="K47" s="155" cm="1">
        <f t="array" ref="K47:X47">K114:X114*$K$14:$X$14</f>
        <v>10.916478785422642</v>
      </c>
      <c r="L47" s="155">
        <v>10.404768842355956</v>
      </c>
      <c r="M47" s="155">
        <v>9.8930588992892687</v>
      </c>
      <c r="N47" s="155">
        <v>9.3813489562225829</v>
      </c>
      <c r="O47" s="155">
        <v>8.8696390131558971</v>
      </c>
      <c r="P47" s="155">
        <v>8.5284990511114387</v>
      </c>
      <c r="Q47" s="155">
        <v>8.1873590890669821</v>
      </c>
      <c r="R47" s="155">
        <v>7.8462191270225237</v>
      </c>
      <c r="S47" s="155">
        <v>7.5050791649780662</v>
      </c>
      <c r="T47" s="155">
        <v>7.1639392029336086</v>
      </c>
      <c r="U47" s="155">
        <v>6.9933692219113803</v>
      </c>
      <c r="V47" s="155">
        <v>6.6522292598669228</v>
      </c>
      <c r="W47" s="155">
        <v>6.4816592788446936</v>
      </c>
      <c r="X47" s="155">
        <v>6.1405193168002361</v>
      </c>
      <c r="AB47" s="12">
        <v>41</v>
      </c>
      <c r="AC47" s="18" t="s">
        <v>226</v>
      </c>
      <c r="AD47" s="51"/>
      <c r="AH47" s="160"/>
    </row>
    <row r="48" spans="5:34" x14ac:dyDescent="0.2">
      <c r="E48" s="267"/>
      <c r="F48" s="154"/>
      <c r="G48" s="12"/>
      <c r="J48" s="205" t="s">
        <v>227</v>
      </c>
      <c r="K48" s="155" cm="1">
        <f t="array" ref="K48:X48">K115:X115*wind_selected.num.turbine</f>
        <v>11.253379268015108</v>
      </c>
      <c r="L48" s="155">
        <v>10.795595316073275</v>
      </c>
      <c r="M48" s="155">
        <v>10.332279624885009</v>
      </c>
      <c r="N48" s="155">
        <v>9.863251612879866</v>
      </c>
      <c r="O48" s="155">
        <v>9.3883256879202879</v>
      </c>
      <c r="P48" s="155">
        <v>9.0890929786852439</v>
      </c>
      <c r="Q48" s="155">
        <v>8.7860993796399374</v>
      </c>
      <c r="R48" s="155">
        <v>8.4792191978880798</v>
      </c>
      <c r="S48" s="155">
        <v>8.1683232171734534</v>
      </c>
      <c r="T48" s="155">
        <v>7.8532786072226717</v>
      </c>
      <c r="U48" s="155">
        <v>7.7222975516427796</v>
      </c>
      <c r="V48" s="155">
        <v>7.399935484416682</v>
      </c>
      <c r="W48" s="155">
        <v>7.2641945517020119</v>
      </c>
      <c r="X48" s="155">
        <v>6.9340505443018756</v>
      </c>
      <c r="AB48" s="12">
        <v>42</v>
      </c>
      <c r="AC48" s="18" t="s">
        <v>228</v>
      </c>
      <c r="AD48" s="51"/>
      <c r="AH48" s="160"/>
    </row>
    <row r="49" spans="5:34" x14ac:dyDescent="0.2">
      <c r="E49" s="267"/>
      <c r="F49" s="154"/>
      <c r="G49" s="12"/>
      <c r="J49" s="205" t="s">
        <v>229</v>
      </c>
      <c r="K49" s="155" cm="1">
        <f t="array" ref="K49:X49">K116:X116*wind_selected.num.turbine</f>
        <v>35.751468022259147</v>
      </c>
      <c r="L49" s="155">
        <v>34.075617958715746</v>
      </c>
      <c r="M49" s="155">
        <v>32.399767895172353</v>
      </c>
      <c r="N49" s="155">
        <v>30.723917831628953</v>
      </c>
      <c r="O49" s="155">
        <v>29.048067768085556</v>
      </c>
      <c r="P49" s="155">
        <v>27.930834392389958</v>
      </c>
      <c r="Q49" s="155">
        <v>26.81360101669436</v>
      </c>
      <c r="R49" s="155">
        <v>25.696367640998762</v>
      </c>
      <c r="S49" s="155">
        <v>24.579134265303164</v>
      </c>
      <c r="T49" s="155">
        <v>23.461900889607566</v>
      </c>
      <c r="U49" s="155">
        <v>22.903284201759767</v>
      </c>
      <c r="V49" s="155">
        <v>21.786050826064166</v>
      </c>
      <c r="W49" s="155">
        <v>21.227434138216367</v>
      </c>
      <c r="X49" s="155">
        <v>20.110200762520769</v>
      </c>
      <c r="AB49" s="12">
        <v>43</v>
      </c>
      <c r="AC49" s="18" t="s">
        <v>230</v>
      </c>
      <c r="AD49" s="51"/>
      <c r="AH49" s="160"/>
    </row>
    <row r="50" spans="5:34" x14ac:dyDescent="0.2">
      <c r="E50" s="267"/>
      <c r="F50" s="154"/>
      <c r="G50" s="12"/>
      <c r="K50" s="155"/>
      <c r="L50" s="155"/>
      <c r="M50" s="155"/>
      <c r="N50" s="155"/>
      <c r="O50" s="155"/>
      <c r="P50" s="155"/>
      <c r="Q50" s="155"/>
      <c r="R50" s="155"/>
      <c r="S50" s="155"/>
      <c r="T50" s="155"/>
      <c r="U50" s="155"/>
      <c r="V50" s="155"/>
      <c r="W50" s="155"/>
      <c r="X50" s="155"/>
      <c r="AB50" s="12">
        <v>44</v>
      </c>
      <c r="AC50" s="18"/>
      <c r="AD50" s="51"/>
      <c r="AH50" s="160"/>
    </row>
    <row r="51" spans="5:34" x14ac:dyDescent="0.2">
      <c r="E51" s="152"/>
      <c r="G51" s="12"/>
      <c r="H51" s="19" t="str">
        <f>"Soft Costs (2022$M)"&amp;IF(ITC.toggle="Yes"," - ITC Enabled","")</f>
        <v>Soft Costs (2022$M)</v>
      </c>
      <c r="K51" s="151" cm="1">
        <f t="array" ref="K51:X51">(_xlfn.ANCHORARRAY(K52)+_xlfn.ANCHORARRAY(K53)+_xlfn.ANCHORARRAY(K54))*IF(ITC.toggle="Yes",(1-Forecast.ITC.Soft),1)</f>
        <v>60.377058262614582</v>
      </c>
      <c r="L51" s="151">
        <v>59.081555114787193</v>
      </c>
      <c r="M51" s="151">
        <v>57.680302906030875</v>
      </c>
      <c r="N51" s="151">
        <v>56.141914347198707</v>
      </c>
      <c r="O51" s="151">
        <v>54.435862459622406</v>
      </c>
      <c r="P51" s="151">
        <v>53.606002407463052</v>
      </c>
      <c r="Q51" s="151">
        <v>52.603365253226364</v>
      </c>
      <c r="R51" s="151">
        <v>51.402326828473271</v>
      </c>
      <c r="S51" s="151">
        <v>49.981263188441979</v>
      </c>
      <c r="T51" s="151">
        <v>48.323979277110624</v>
      </c>
      <c r="U51" s="151">
        <v>47.581598931387028</v>
      </c>
      <c r="V51" s="151">
        <v>45.436178743951416</v>
      </c>
      <c r="W51" s="151">
        <v>44.242978358106306</v>
      </c>
      <c r="X51" s="151">
        <v>41.860272253100916</v>
      </c>
      <c r="AB51" s="12">
        <v>45</v>
      </c>
      <c r="AD51" s="51"/>
      <c r="AH51" s="160"/>
    </row>
    <row r="52" spans="5:34" x14ac:dyDescent="0.2">
      <c r="G52" s="12"/>
      <c r="J52" s="207" t="s">
        <v>132</v>
      </c>
      <c r="K52" s="155" cm="1">
        <f t="array" ref="K52:X52">INDEX(jurisdictional_inputs,_xlfn.XMATCH("Sales Tax",jurisdictional_inputs_rows),_xlfn.XMATCH(selected.location,jurisdictions))*_xlfn.ANCHORARRAY(K36)</f>
        <v>33.026960549882482</v>
      </c>
      <c r="L52" s="155">
        <v>32.373827573019163</v>
      </c>
      <c r="M52" s="155">
        <v>31.65910649734554</v>
      </c>
      <c r="N52" s="155">
        <v>30.864349236227028</v>
      </c>
      <c r="O52" s="155">
        <v>29.971614502489469</v>
      </c>
      <c r="P52" s="155">
        <v>29.555400672723337</v>
      </c>
      <c r="Q52" s="155">
        <v>29.037954386934356</v>
      </c>
      <c r="R52" s="155">
        <v>28.404212369760295</v>
      </c>
      <c r="S52" s="155">
        <v>27.641465557916607</v>
      </c>
      <c r="T52" s="155">
        <v>26.740199763929212</v>
      </c>
      <c r="U52" s="155">
        <v>26.337270265328151</v>
      </c>
      <c r="V52" s="155">
        <v>25.149618081020328</v>
      </c>
      <c r="W52" s="155">
        <v>24.481965420819645</v>
      </c>
      <c r="X52" s="155">
        <v>23.155585354557811</v>
      </c>
      <c r="AB52" s="12">
        <v>46</v>
      </c>
      <c r="AC52" s="18" t="s">
        <v>231</v>
      </c>
      <c r="AD52" s="51"/>
    </row>
    <row r="53" spans="5:34" x14ac:dyDescent="0.2">
      <c r="G53" s="12"/>
      <c r="J53" s="207" t="s">
        <v>136</v>
      </c>
      <c r="K53" s="155" cm="1">
        <f t="array" ref="K53:X53">3%*(_xlfn.ANCHORARRAY(K36)+_xlfn.ANCHORARRAY(K52))</f>
        <v>8.6124150972385856</v>
      </c>
      <c r="L53" s="155">
        <v>8.4420981132719195</v>
      </c>
      <c r="M53" s="155">
        <v>8.2557208481539526</v>
      </c>
      <c r="N53" s="155">
        <v>8.0484726085238165</v>
      </c>
      <c r="O53" s="155">
        <v>7.8156748587260996</v>
      </c>
      <c r="P53" s="155">
        <v>7.707139098502469</v>
      </c>
      <c r="Q53" s="155">
        <v>7.5722050285928812</v>
      </c>
      <c r="R53" s="155">
        <v>7.406944610268261</v>
      </c>
      <c r="S53" s="155">
        <v>7.2080437108720989</v>
      </c>
      <c r="T53" s="155">
        <v>6.9730213230553861</v>
      </c>
      <c r="U53" s="155">
        <v>6.8679497076509559</v>
      </c>
      <c r="V53" s="155">
        <v>6.558246561127608</v>
      </c>
      <c r="W53" s="155">
        <v>6.3841432905060458</v>
      </c>
      <c r="X53" s="155">
        <v>6.0382641809193052</v>
      </c>
      <c r="AB53" s="12">
        <v>47</v>
      </c>
      <c r="AC53" s="18" t="s">
        <v>232</v>
      </c>
      <c r="AD53" s="51"/>
    </row>
    <row r="54" spans="5:34" x14ac:dyDescent="0.2">
      <c r="G54" s="12"/>
      <c r="J54" s="207" t="s">
        <v>138</v>
      </c>
      <c r="K54" s="155" cm="1">
        <f t="array" ref="K54:X54">4.9%*(_xlfn.ANCHORARRAY(K36)+_xlfn.ANCHORARRAY(K43)+_xlfn.ANCHORARRAY(K52)+_xlfn.ANCHORARRAY(K53))</f>
        <v>18.737682615493515</v>
      </c>
      <c r="L54" s="155">
        <v>18.265629428496112</v>
      </c>
      <c r="M54" s="155">
        <v>17.765475560531389</v>
      </c>
      <c r="N54" s="155">
        <v>17.229092502447859</v>
      </c>
      <c r="O54" s="155">
        <v>16.648573098406835</v>
      </c>
      <c r="P54" s="155">
        <v>16.343462636237245</v>
      </c>
      <c r="Q54" s="155">
        <v>15.993205837699128</v>
      </c>
      <c r="R54" s="155">
        <v>15.591169848444713</v>
      </c>
      <c r="S54" s="155">
        <v>15.131753919653272</v>
      </c>
      <c r="T54" s="155">
        <v>14.610758190126024</v>
      </c>
      <c r="U54" s="155">
        <v>14.376378958407919</v>
      </c>
      <c r="V54" s="155">
        <v>13.728314101803477</v>
      </c>
      <c r="W54" s="155">
        <v>13.376869646780614</v>
      </c>
      <c r="X54" s="155">
        <v>12.666422717623799</v>
      </c>
      <c r="AB54" s="12">
        <v>48</v>
      </c>
      <c r="AC54" s="18" t="s">
        <v>233</v>
      </c>
      <c r="AD54" s="51"/>
    </row>
    <row r="55" spans="5:34" x14ac:dyDescent="0.2">
      <c r="G55" s="12"/>
      <c r="AB55" s="12">
        <v>49</v>
      </c>
      <c r="AC55" s="18"/>
      <c r="AD55" s="51"/>
    </row>
    <row r="56" spans="5:34" x14ac:dyDescent="0.2">
      <c r="E56" s="267"/>
      <c r="F56" s="154"/>
      <c r="G56" s="156" t="s">
        <v>175</v>
      </c>
      <c r="K56" s="166">
        <f>SUM(K58:K62)+K63+K67</f>
        <v>662.04835052743499</v>
      </c>
      <c r="L56" s="166">
        <f t="shared" ref="L56:X56" si="6">SUM(L58:L62)+L63+L67</f>
        <v>617.10625689996937</v>
      </c>
      <c r="M56" s="166">
        <f t="shared" si="6"/>
        <v>582.42999271851613</v>
      </c>
      <c r="N56" s="166">
        <f t="shared" si="6"/>
        <v>553.82220690597228</v>
      </c>
      <c r="O56" s="166">
        <f t="shared" si="6"/>
        <v>529.35435906632267</v>
      </c>
      <c r="P56" s="166">
        <f t="shared" si="6"/>
        <v>512.0712562789904</v>
      </c>
      <c r="Q56" s="166">
        <f t="shared" si="6"/>
        <v>496.90794608285643</v>
      </c>
      <c r="R56" s="166">
        <f t="shared" si="6"/>
        <v>483.42536799459327</v>
      </c>
      <c r="S56" s="166">
        <f t="shared" si="6"/>
        <v>471.31076317269083</v>
      </c>
      <c r="T56" s="166">
        <f t="shared" si="6"/>
        <v>460.33219672136357</v>
      </c>
      <c r="U56" s="166">
        <f t="shared" si="6"/>
        <v>450.31227477684837</v>
      </c>
      <c r="V56" s="166">
        <f t="shared" si="6"/>
        <v>441.11196065230303</v>
      </c>
      <c r="W56" s="166">
        <f t="shared" si="6"/>
        <v>432.62009710274464</v>
      </c>
      <c r="X56" s="166">
        <f t="shared" si="6"/>
        <v>421.47281058388876</v>
      </c>
      <c r="AB56" s="12">
        <v>50</v>
      </c>
      <c r="AC56" s="18" t="s">
        <v>280</v>
      </c>
      <c r="AD56" s="51"/>
      <c r="AH56" s="160"/>
    </row>
    <row r="57" spans="5:34" x14ac:dyDescent="0.2">
      <c r="E57" s="267"/>
      <c r="F57" s="154"/>
      <c r="G57" s="156"/>
      <c r="I57" s="19" t="str">
        <f>"Equipment (2022$M)"&amp;IF(ITC.toggle="Yes"," - ITC Enabled","")</f>
        <v>Equipment (2022$M)</v>
      </c>
      <c r="K57" s="166"/>
      <c r="L57" s="166"/>
      <c r="M57" s="166"/>
      <c r="N57" s="166"/>
      <c r="O57" s="166"/>
      <c r="P57" s="166"/>
      <c r="Q57" s="166"/>
      <c r="R57" s="166"/>
      <c r="S57" s="166"/>
      <c r="T57" s="166"/>
      <c r="U57" s="166"/>
      <c r="V57" s="166"/>
      <c r="W57" s="166"/>
      <c r="X57" s="166"/>
      <c r="AB57" s="12">
        <v>51</v>
      </c>
      <c r="AC57" s="18" t="s">
        <v>52</v>
      </c>
      <c r="AD57" s="51"/>
      <c r="AH57" s="160"/>
    </row>
    <row r="58" spans="5:34" x14ac:dyDescent="0.2">
      <c r="E58" s="267"/>
      <c r="F58" s="154"/>
      <c r="G58" s="12"/>
      <c r="J58" s="160" t="s">
        <v>53</v>
      </c>
      <c r="K58" s="155">
        <f t="shared" ref="K58:X58" si="7">K22*K127*1000/1000000/K24</f>
        <v>272.39999999999998</v>
      </c>
      <c r="L58" s="155">
        <f t="shared" si="7"/>
        <v>246.45849299965496</v>
      </c>
      <c r="M58" s="155">
        <f t="shared" si="7"/>
        <v>228.05270086823731</v>
      </c>
      <c r="N58" s="155">
        <f t="shared" si="7"/>
        <v>213.77605934534898</v>
      </c>
      <c r="O58" s="155">
        <f t="shared" si="7"/>
        <v>202.11119386789224</v>
      </c>
      <c r="P58" s="155">
        <f t="shared" si="7"/>
        <v>192.24869063424782</v>
      </c>
      <c r="Q58" s="155">
        <f t="shared" si="7"/>
        <v>183.70540173647464</v>
      </c>
      <c r="R58" s="155">
        <f t="shared" si="7"/>
        <v>176.16968686754717</v>
      </c>
      <c r="S58" s="155">
        <f t="shared" si="7"/>
        <v>169.42876021358629</v>
      </c>
      <c r="T58" s="155">
        <f t="shared" si="7"/>
        <v>163.33085031417647</v>
      </c>
      <c r="U58" s="155">
        <f t="shared" si="7"/>
        <v>157.76389473612954</v>
      </c>
      <c r="V58" s="155">
        <f t="shared" si="7"/>
        <v>152.64279203230407</v>
      </c>
      <c r="W58" s="155">
        <f t="shared" si="7"/>
        <v>147.9013915024851</v>
      </c>
      <c r="X58" s="155">
        <f t="shared" si="7"/>
        <v>143.48725321324122</v>
      </c>
      <c r="AB58" s="12">
        <v>52</v>
      </c>
      <c r="AC58" s="18" t="s">
        <v>54</v>
      </c>
      <c r="AD58" s="51"/>
      <c r="AH58" s="160"/>
    </row>
    <row r="59" spans="5:34" x14ac:dyDescent="0.2">
      <c r="E59" s="267"/>
      <c r="F59" s="154"/>
      <c r="G59" s="12"/>
      <c r="J59" s="160" t="s">
        <v>174</v>
      </c>
      <c r="K59" s="155">
        <f t="shared" ref="K59:X59" si="8">SUM(K130)*K22*1000/1000000</f>
        <v>30.72</v>
      </c>
      <c r="L59" s="155">
        <f t="shared" si="8"/>
        <v>29.098056709135399</v>
      </c>
      <c r="M59" s="155">
        <f t="shared" si="8"/>
        <v>28.149280705683342</v>
      </c>
      <c r="N59" s="155">
        <f t="shared" si="8"/>
        <v>27.476113418270799</v>
      </c>
      <c r="O59" s="155">
        <f t="shared" si="8"/>
        <v>26.953964304627419</v>
      </c>
      <c r="P59" s="155">
        <f t="shared" si="8"/>
        <v>26.527337414818742</v>
      </c>
      <c r="Q59" s="155">
        <f t="shared" si="8"/>
        <v>26.166629519092954</v>
      </c>
      <c r="R59" s="155">
        <f t="shared" si="8"/>
        <v>25.854170127406199</v>
      </c>
      <c r="S59" s="155">
        <f t="shared" si="8"/>
        <v>25.578561411366682</v>
      </c>
      <c r="T59" s="155">
        <f t="shared" si="8"/>
        <v>25.332021013762816</v>
      </c>
      <c r="U59" s="155">
        <f t="shared" si="8"/>
        <v>25.108998095946369</v>
      </c>
      <c r="V59" s="155">
        <f t="shared" si="8"/>
        <v>24.905394123954139</v>
      </c>
      <c r="W59" s="155">
        <f t="shared" si="8"/>
        <v>24.718096625912164</v>
      </c>
      <c r="X59" s="155">
        <f t="shared" si="8"/>
        <v>24.544686228228358</v>
      </c>
      <c r="AB59" s="12">
        <v>53</v>
      </c>
      <c r="AC59" s="18" t="s">
        <v>56</v>
      </c>
      <c r="AD59" s="51"/>
      <c r="AH59" s="160"/>
    </row>
    <row r="60" spans="5:34" x14ac:dyDescent="0.2">
      <c r="E60" s="267"/>
      <c r="F60" s="154"/>
      <c r="G60" s="12"/>
      <c r="J60" s="160" t="s">
        <v>59</v>
      </c>
      <c r="K60" s="155">
        <f t="shared" ref="K60:X60" si="9">es.battery.cabinet.costs.2022*K23/1000000</f>
        <v>147.79181006962435</v>
      </c>
      <c r="L60" s="155">
        <f t="shared" si="9"/>
        <v>137.52228852400091</v>
      </c>
      <c r="M60" s="155">
        <f t="shared" si="9"/>
        <v>128.58722458035109</v>
      </c>
      <c r="N60" s="155">
        <f t="shared" si="9"/>
        <v>120.74238064043578</v>
      </c>
      <c r="O60" s="155">
        <f t="shared" si="9"/>
        <v>113.79969375361071</v>
      </c>
      <c r="P60" s="155">
        <f t="shared" si="9"/>
        <v>107.61200354951367</v>
      </c>
      <c r="Q60" s="155">
        <f t="shared" si="9"/>
        <v>102.06250560861945</v>
      </c>
      <c r="R60" s="155">
        <f t="shared" si="9"/>
        <v>97.057308105424909</v>
      </c>
      <c r="S60" s="155">
        <f t="shared" si="9"/>
        <v>92.520076222447727</v>
      </c>
      <c r="T60" s="155">
        <f t="shared" si="9"/>
        <v>88.388111653289869</v>
      </c>
      <c r="U60" s="155">
        <f t="shared" si="9"/>
        <v>84.60943773502656</v>
      </c>
      <c r="V60" s="155">
        <f t="shared" si="9"/>
        <v>81.140601606852542</v>
      </c>
      <c r="W60" s="155">
        <f t="shared" si="9"/>
        <v>77.944995721651139</v>
      </c>
      <c r="X60" s="155">
        <f t="shared" si="9"/>
        <v>72.253773811816316</v>
      </c>
      <c r="AB60" s="12">
        <v>54</v>
      </c>
      <c r="AC60" s="18" t="s">
        <v>58</v>
      </c>
      <c r="AD60" s="51"/>
      <c r="AH60" s="160"/>
    </row>
    <row r="61" spans="5:34" x14ac:dyDescent="0.2">
      <c r="E61" s="267"/>
      <c r="F61" s="154"/>
      <c r="G61" s="12"/>
      <c r="J61" s="160" t="s">
        <v>176</v>
      </c>
      <c r="K61" s="155" cm="1">
        <f t="array" ref="K61:X61">(((_xlfn.ANCHORARRAY(K108))*solar_selected.module.capacity*1000/forecast_solar.module.efficiency+_xlfn.ANCHORARRAY(K109)) + 1.04*(SUM(K129)*K22*1000))/1000/1000</f>
        <v>14.403486552677798</v>
      </c>
      <c r="L61" s="155">
        <v>14.404617495036458</v>
      </c>
      <c r="M61" s="155">
        <v>14.409030315146195</v>
      </c>
      <c r="N61" s="155">
        <v>14.415421147190527</v>
      </c>
      <c r="O61" s="155">
        <v>14.423235020479483</v>
      </c>
      <c r="P61" s="155">
        <v>14.432187426794844</v>
      </c>
      <c r="Q61" s="155">
        <v>14.442114971864374</v>
      </c>
      <c r="R61" s="155">
        <v>14.452916431872502</v>
      </c>
      <c r="S61" s="155">
        <v>14.464525694872334</v>
      </c>
      <c r="T61" s="155">
        <v>14.476897937345441</v>
      </c>
      <c r="U61" s="155">
        <v>14.490001972573761</v>
      </c>
      <c r="V61" s="155">
        <v>14.503815741643043</v>
      </c>
      <c r="W61" s="155">
        <v>14.518323519146064</v>
      </c>
      <c r="X61" s="155">
        <v>14.533514108246637</v>
      </c>
      <c r="AB61" s="12">
        <v>55</v>
      </c>
      <c r="AC61" s="18" t="s">
        <v>60</v>
      </c>
      <c r="AD61" s="51"/>
      <c r="AH61" s="160"/>
    </row>
    <row r="62" spans="5:34" x14ac:dyDescent="0.2">
      <c r="E62" s="267"/>
      <c r="F62" s="154"/>
      <c r="G62" s="12"/>
      <c r="J62" s="160" t="s">
        <v>55</v>
      </c>
      <c r="K62" s="155">
        <f>K128*K20*1000/1000000</f>
        <v>11.04</v>
      </c>
      <c r="L62" s="155">
        <f t="shared" ref="L62:X62" si="10">L128*L20*1000/1000000</f>
        <v>10.634984751499017</v>
      </c>
      <c r="M62" s="155">
        <f t="shared" si="10"/>
        <v>10.347621859518055</v>
      </c>
      <c r="N62" s="155">
        <f t="shared" si="10"/>
        <v>10.124725883811047</v>
      </c>
      <c r="O62" s="155">
        <f t="shared" si="10"/>
        <v>9.9426066110170748</v>
      </c>
      <c r="P62" s="155">
        <f t="shared" si="10"/>
        <v>9.7886269598748683</v>
      </c>
      <c r="Q62" s="155">
        <f t="shared" si="10"/>
        <v>9.6552437190361093</v>
      </c>
      <c r="R62" s="155">
        <f t="shared" si="10"/>
        <v>9.5375913625160909</v>
      </c>
      <c r="S62" s="155">
        <f t="shared" si="10"/>
        <v>9.4323477433291014</v>
      </c>
      <c r="T62" s="155">
        <f t="shared" si="10"/>
        <v>9.337143309245409</v>
      </c>
      <c r="U62" s="155">
        <f t="shared" si="10"/>
        <v>9.250228470535129</v>
      </c>
      <c r="V62" s="155">
        <f t="shared" si="10"/>
        <v>9.1702745694698837</v>
      </c>
      <c r="W62" s="155">
        <f t="shared" si="10"/>
        <v>9.0962488193929207</v>
      </c>
      <c r="X62" s="155">
        <f t="shared" si="10"/>
        <v>9.0273324948281211</v>
      </c>
      <c r="AB62" s="12">
        <v>56</v>
      </c>
      <c r="AC62" s="18"/>
      <c r="AD62" s="51"/>
      <c r="AH62" s="160"/>
    </row>
    <row r="63" spans="5:34" x14ac:dyDescent="0.2">
      <c r="E63" s="267"/>
      <c r="F63" s="154"/>
      <c r="G63" s="12"/>
      <c r="I63" s="19" t="s">
        <v>177</v>
      </c>
      <c r="J63" s="160"/>
      <c r="K63" s="166">
        <f>K64*K65</f>
        <v>163.33085031417647</v>
      </c>
      <c r="L63" s="166">
        <f t="shared" ref="L63:X63" si="11">L64*L65</f>
        <v>157.76389473612954</v>
      </c>
      <c r="M63" s="166">
        <f t="shared" si="11"/>
        <v>152.64279203230407</v>
      </c>
      <c r="N63" s="166">
        <f t="shared" si="11"/>
        <v>147.9013915024851</v>
      </c>
      <c r="O63" s="166">
        <f t="shared" si="11"/>
        <v>143.48725321324122</v>
      </c>
      <c r="P63" s="166">
        <f t="shared" si="11"/>
        <v>143.48725321324122</v>
      </c>
      <c r="Q63" s="166">
        <f t="shared" si="11"/>
        <v>143.48725321324122</v>
      </c>
      <c r="R63" s="166">
        <f t="shared" si="11"/>
        <v>143.48725321324122</v>
      </c>
      <c r="S63" s="166">
        <f t="shared" si="11"/>
        <v>143.48725321324122</v>
      </c>
      <c r="T63" s="166">
        <f t="shared" si="11"/>
        <v>143.48725321324122</v>
      </c>
      <c r="U63" s="166">
        <f t="shared" si="11"/>
        <v>143.48725321324122</v>
      </c>
      <c r="V63" s="166">
        <f t="shared" si="11"/>
        <v>143.48725321324122</v>
      </c>
      <c r="W63" s="166">
        <f t="shared" si="11"/>
        <v>143.48725321324122</v>
      </c>
      <c r="X63" s="166">
        <f t="shared" si="11"/>
        <v>143.48725321324122</v>
      </c>
      <c r="AB63" s="12">
        <v>57</v>
      </c>
      <c r="AD63" s="51"/>
      <c r="AH63" s="160"/>
    </row>
    <row r="64" spans="5:34" x14ac:dyDescent="0.2">
      <c r="E64" s="267"/>
      <c r="F64" s="154"/>
      <c r="G64" s="12"/>
      <c r="J64" s="160" t="s">
        <v>178</v>
      </c>
      <c r="K64" s="203">
        <f t="shared" ref="K64:W64" si="12">ROUND(K15/K25,0)-1</f>
        <v>1</v>
      </c>
      <c r="L64" s="203">
        <f t="shared" si="12"/>
        <v>1</v>
      </c>
      <c r="M64" s="203">
        <f t="shared" si="12"/>
        <v>1</v>
      </c>
      <c r="N64" s="203">
        <f t="shared" si="12"/>
        <v>1</v>
      </c>
      <c r="O64" s="203">
        <f t="shared" si="12"/>
        <v>1</v>
      </c>
      <c r="P64" s="203">
        <f t="shared" si="12"/>
        <v>1</v>
      </c>
      <c r="Q64" s="203">
        <f t="shared" si="12"/>
        <v>1</v>
      </c>
      <c r="R64" s="203">
        <f t="shared" si="12"/>
        <v>1</v>
      </c>
      <c r="S64" s="203">
        <f t="shared" si="12"/>
        <v>1</v>
      </c>
      <c r="T64" s="203">
        <f t="shared" si="12"/>
        <v>1</v>
      </c>
      <c r="U64" s="203">
        <f t="shared" si="12"/>
        <v>1</v>
      </c>
      <c r="V64" s="203">
        <f t="shared" si="12"/>
        <v>1</v>
      </c>
      <c r="W64" s="203">
        <f t="shared" si="12"/>
        <v>1</v>
      </c>
      <c r="X64" s="203">
        <v>1</v>
      </c>
      <c r="AB64" s="12">
        <v>58</v>
      </c>
      <c r="AC64" s="18" t="s">
        <v>281</v>
      </c>
      <c r="AD64" s="51"/>
      <c r="AH64" s="160"/>
    </row>
    <row r="65" spans="5:34" x14ac:dyDescent="0.2">
      <c r="E65" s="267"/>
      <c r="F65" s="154"/>
      <c r="G65" s="12"/>
      <c r="J65" s="160" t="s">
        <v>179</v>
      </c>
      <c r="K65" s="202" cm="1">
        <f t="array" ref="K65">INDEX($K$58:$X$58,,10+K4-2022)</f>
        <v>163.33085031417647</v>
      </c>
      <c r="L65" s="202" cm="1">
        <f t="array" ref="L65">INDEX($K$58:$X$58,,10+L4-2022)</f>
        <v>157.76389473612954</v>
      </c>
      <c r="M65" s="202" cm="1">
        <f t="array" ref="M65">INDEX($K$58:$X$58,,10+M4-2022)</f>
        <v>152.64279203230407</v>
      </c>
      <c r="N65" s="202" cm="1">
        <f t="array" ref="N65">INDEX($K$58:$X$58,,10+N4-2022)</f>
        <v>147.9013915024851</v>
      </c>
      <c r="O65" s="202" cm="1">
        <f t="array" ref="O65">INDEX($K$58:$X$58,,10+O4-2022)</f>
        <v>143.48725321324122</v>
      </c>
      <c r="P65" s="202">
        <f>O65</f>
        <v>143.48725321324122</v>
      </c>
      <c r="Q65" s="202">
        <f t="shared" ref="Q65:X65" si="13">P65</f>
        <v>143.48725321324122</v>
      </c>
      <c r="R65" s="202">
        <f t="shared" si="13"/>
        <v>143.48725321324122</v>
      </c>
      <c r="S65" s="202">
        <f t="shared" si="13"/>
        <v>143.48725321324122</v>
      </c>
      <c r="T65" s="202">
        <f t="shared" si="13"/>
        <v>143.48725321324122</v>
      </c>
      <c r="U65" s="202">
        <f t="shared" si="13"/>
        <v>143.48725321324122</v>
      </c>
      <c r="V65" s="202">
        <f t="shared" si="13"/>
        <v>143.48725321324122</v>
      </c>
      <c r="W65" s="202">
        <f t="shared" si="13"/>
        <v>143.48725321324122</v>
      </c>
      <c r="X65" s="202">
        <f t="shared" si="13"/>
        <v>143.48725321324122</v>
      </c>
      <c r="AB65" s="12">
        <v>59</v>
      </c>
      <c r="AC65" s="18" t="s">
        <v>282</v>
      </c>
      <c r="AD65" s="51"/>
      <c r="AH65" s="160"/>
    </row>
    <row r="66" spans="5:34" x14ac:dyDescent="0.2">
      <c r="E66" s="267"/>
      <c r="F66" s="154"/>
      <c r="G66" s="12"/>
      <c r="J66" s="160"/>
      <c r="K66" s="155"/>
      <c r="L66" s="155"/>
      <c r="M66" s="155"/>
      <c r="N66" s="155"/>
      <c r="O66" s="155"/>
      <c r="P66" s="155"/>
      <c r="Q66" s="155"/>
      <c r="R66" s="155"/>
      <c r="S66" s="155"/>
      <c r="T66" s="155"/>
      <c r="U66" s="155"/>
      <c r="V66" s="155"/>
      <c r="W66" s="155"/>
      <c r="X66" s="155"/>
      <c r="AB66" s="12">
        <v>60</v>
      </c>
      <c r="AC66" s="18"/>
      <c r="AD66" s="51"/>
      <c r="AH66" s="160"/>
    </row>
    <row r="67" spans="5:34" x14ac:dyDescent="0.2">
      <c r="E67" s="267"/>
      <c r="F67" s="154"/>
      <c r="G67" s="12"/>
      <c r="I67" s="19" t="str">
        <f>"Installation (2022$M)"&amp;IF(ITC.toggle="Yes"," - ITC Enabled","")</f>
        <v>Installation (2022$M)</v>
      </c>
      <c r="K67" s="166">
        <f>SUM(K68:K69)</f>
        <v>22.362203590956224</v>
      </c>
      <c r="L67" s="166">
        <f t="shared" ref="L67:X67" si="14">SUM(L68:L69)</f>
        <v>21.223921684513041</v>
      </c>
      <c r="M67" s="166">
        <f t="shared" si="14"/>
        <v>20.24134235727621</v>
      </c>
      <c r="N67" s="166">
        <f t="shared" si="14"/>
        <v>19.386114968430043</v>
      </c>
      <c r="O67" s="166">
        <f t="shared" si="14"/>
        <v>18.636412295454534</v>
      </c>
      <c r="P67" s="166">
        <f t="shared" si="14"/>
        <v>17.975157080499173</v>
      </c>
      <c r="Q67" s="166">
        <f t="shared" si="14"/>
        <v>17.388797314527672</v>
      </c>
      <c r="R67" s="166">
        <f t="shared" si="14"/>
        <v>16.866441886585228</v>
      </c>
      <c r="S67" s="166">
        <f t="shared" si="14"/>
        <v>16.399238673847449</v>
      </c>
      <c r="T67" s="166">
        <f t="shared" si="14"/>
        <v>15.979919280302404</v>
      </c>
      <c r="U67" s="166">
        <f t="shared" si="14"/>
        <v>15.602460553395794</v>
      </c>
      <c r="V67" s="166">
        <f t="shared" si="14"/>
        <v>15.261829364838119</v>
      </c>
      <c r="W67" s="166">
        <f t="shared" si="14"/>
        <v>14.953787700916045</v>
      </c>
      <c r="X67" s="166">
        <f t="shared" si="14"/>
        <v>14.138997514286885</v>
      </c>
      <c r="AB67" s="12">
        <v>61</v>
      </c>
      <c r="AD67" s="51"/>
      <c r="AH67" s="160"/>
    </row>
    <row r="68" spans="5:34" x14ac:dyDescent="0.2">
      <c r="E68" s="267"/>
      <c r="F68" s="154"/>
      <c r="G68" s="12"/>
      <c r="J68" s="205" t="s">
        <v>62</v>
      </c>
      <c r="K68" s="155" cm="1">
        <f t="array" ref="K68:X68">_xlfn.ANCHORARRAY(K131)*K23:X23/1000000</f>
        <v>8.4240000000000009E-2</v>
      </c>
      <c r="L68" s="155">
        <v>7.8386465256797599E-2</v>
      </c>
      <c r="M68" s="155">
        <v>7.3293559322033894E-2</v>
      </c>
      <c r="N68" s="155">
        <v>6.882206896551725E-2</v>
      </c>
      <c r="O68" s="155">
        <v>6.48648E-2</v>
      </c>
      <c r="P68" s="155">
        <v>6.133787234042553E-2</v>
      </c>
      <c r="Q68" s="155">
        <v>5.8174708520179357E-2</v>
      </c>
      <c r="R68" s="155">
        <v>5.5321791044776109E-2</v>
      </c>
      <c r="S68" s="155">
        <v>5.2735609756097555E-2</v>
      </c>
      <c r="T68" s="155">
        <v>5.038042718446601E-2</v>
      </c>
      <c r="U68" s="155">
        <v>4.8226617100371738E-2</v>
      </c>
      <c r="V68" s="155">
        <v>4.6249411764705872E-2</v>
      </c>
      <c r="W68" s="155">
        <v>4.4427945205479429E-2</v>
      </c>
      <c r="X68" s="155">
        <v>4.1183999999999998E-2</v>
      </c>
      <c r="AB68" s="12">
        <v>62</v>
      </c>
      <c r="AC68" s="18" t="s">
        <v>63</v>
      </c>
      <c r="AD68" s="51"/>
      <c r="AH68" s="160"/>
    </row>
    <row r="69" spans="5:34" x14ac:dyDescent="0.2">
      <c r="E69" s="267"/>
      <c r="F69" s="154"/>
      <c r="G69" s="12"/>
      <c r="J69" s="205" t="s">
        <v>64</v>
      </c>
      <c r="K69" s="155" cm="1">
        <f t="array" ref="K69:X69">_xlfn.ANCHORARRAY(K132)*_xlfn.ANCHORARRAY(K133)/1000/1000</f>
        <v>22.277963590956222</v>
      </c>
      <c r="L69" s="155">
        <v>21.145535219256242</v>
      </c>
      <c r="M69" s="155">
        <v>20.168048797954174</v>
      </c>
      <c r="N69" s="155">
        <v>19.317292899464526</v>
      </c>
      <c r="O69" s="155">
        <v>18.571547495454535</v>
      </c>
      <c r="P69" s="155">
        <v>17.913819208158749</v>
      </c>
      <c r="Q69" s="155">
        <v>17.330622606007491</v>
      </c>
      <c r="R69" s="155">
        <v>16.811120095540453</v>
      </c>
      <c r="S69" s="155">
        <v>16.346503064091351</v>
      </c>
      <c r="T69" s="155">
        <v>15.929538853117938</v>
      </c>
      <c r="U69" s="155">
        <v>15.554233936295422</v>
      </c>
      <c r="V69" s="155">
        <v>15.215579953073414</v>
      </c>
      <c r="W69" s="155">
        <v>14.909359755710566</v>
      </c>
      <c r="X69" s="155">
        <v>14.097813514286885</v>
      </c>
      <c r="AB69" s="12">
        <v>63</v>
      </c>
      <c r="AC69" s="18" t="s">
        <v>65</v>
      </c>
      <c r="AD69" s="51"/>
      <c r="AH69" s="160"/>
    </row>
    <row r="70" spans="5:34" x14ac:dyDescent="0.2">
      <c r="E70" s="267"/>
      <c r="F70" s="154"/>
      <c r="G70" s="12"/>
      <c r="K70" s="155"/>
      <c r="L70" s="155"/>
      <c r="M70" s="155"/>
      <c r="N70" s="155"/>
      <c r="O70" s="155"/>
      <c r="P70" s="155"/>
      <c r="Q70" s="155"/>
      <c r="R70" s="155"/>
      <c r="S70" s="155"/>
      <c r="T70" s="155"/>
      <c r="U70" s="155"/>
      <c r="V70" s="155"/>
      <c r="W70" s="155"/>
      <c r="X70" s="155"/>
      <c r="AB70" s="12">
        <v>64</v>
      </c>
      <c r="AC70" s="18"/>
      <c r="AD70" s="51"/>
      <c r="AH70" s="160"/>
    </row>
    <row r="71" spans="5:34" x14ac:dyDescent="0.2">
      <c r="E71" s="267"/>
      <c r="F71" s="154"/>
      <c r="G71" s="12"/>
      <c r="H71" s="19" t="s">
        <v>283</v>
      </c>
      <c r="K71" s="155"/>
      <c r="L71" s="155"/>
      <c r="M71" s="155"/>
      <c r="N71" s="155"/>
      <c r="O71" s="155"/>
      <c r="P71" s="155"/>
      <c r="Q71" s="155"/>
      <c r="R71" s="155"/>
      <c r="S71" s="155"/>
      <c r="T71" s="155"/>
      <c r="U71" s="155"/>
      <c r="V71" s="155"/>
      <c r="W71" s="155"/>
      <c r="X71" s="155"/>
      <c r="AB71" s="12">
        <v>65</v>
      </c>
      <c r="AC71" s="18"/>
      <c r="AD71" s="51"/>
      <c r="AH71" s="160"/>
    </row>
    <row r="72" spans="5:34" x14ac:dyDescent="0.2">
      <c r="E72" s="267"/>
      <c r="F72" s="154"/>
      <c r="G72" s="12"/>
      <c r="I72" s="19" t="s">
        <v>182</v>
      </c>
      <c r="K72" s="166">
        <f>SUM(K73:K78)</f>
        <v>128.98311087767604</v>
      </c>
      <c r="L72" s="166">
        <f t="shared" ref="L72:X72" si="15">SUM(L73:L78)</f>
        <v>119.0348179173</v>
      </c>
      <c r="M72" s="166">
        <f t="shared" si="15"/>
        <v>111.61467438668932</v>
      </c>
      <c r="N72" s="166">
        <f t="shared" si="15"/>
        <v>105.64057078443125</v>
      </c>
      <c r="O72" s="166">
        <f t="shared" si="15"/>
        <v>100.62936179288857</v>
      </c>
      <c r="P72" s="166">
        <f t="shared" si="15"/>
        <v>96.314954914653001</v>
      </c>
      <c r="Q72" s="166">
        <f t="shared" si="15"/>
        <v>92.532093628294461</v>
      </c>
      <c r="R72" s="166">
        <f t="shared" si="15"/>
        <v>89.169751198802061</v>
      </c>
      <c r="S72" s="166">
        <f t="shared" si="15"/>
        <v>86.149094005359174</v>
      </c>
      <c r="T72" s="166">
        <f t="shared" si="15"/>
        <v>83.411811992658059</v>
      </c>
      <c r="U72" s="166">
        <f t="shared" si="15"/>
        <v>80.913401384683937</v>
      </c>
      <c r="V72" s="166">
        <f t="shared" si="15"/>
        <v>78.619042330132274</v>
      </c>
      <c r="W72" s="166">
        <f t="shared" si="15"/>
        <v>76.500937720440731</v>
      </c>
      <c r="X72" s="166">
        <f t="shared" si="15"/>
        <v>73.773050601997554</v>
      </c>
      <c r="AB72" s="12">
        <v>66</v>
      </c>
      <c r="AC72" s="18"/>
      <c r="AD72" s="51"/>
      <c r="AH72" s="160"/>
    </row>
    <row r="73" spans="5:34" x14ac:dyDescent="0.2">
      <c r="E73" s="267"/>
      <c r="F73" s="154"/>
      <c r="G73" s="12"/>
      <c r="J73" s="160" t="s">
        <v>131</v>
      </c>
      <c r="K73" s="155">
        <f>13%*SUM(K61,K59,K69)</f>
        <v>8.7621885186724224</v>
      </c>
      <c r="L73" s="155">
        <f t="shared" ref="L73:X73" si="16">13%*SUM(L61,L59,L69)</f>
        <v>8.404267225045654</v>
      </c>
      <c r="M73" s="155">
        <f t="shared" si="16"/>
        <v>8.1544267764418823</v>
      </c>
      <c r="N73" s="155">
        <f t="shared" si="16"/>
        <v>7.9571475704403616</v>
      </c>
      <c r="O73" s="155">
        <f t="shared" si="16"/>
        <v>7.7933370866729872</v>
      </c>
      <c r="P73" s="155">
        <f t="shared" si="16"/>
        <v>7.6535347264704034</v>
      </c>
      <c r="Q73" s="155">
        <f t="shared" si="16"/>
        <v>7.5321177226054266</v>
      </c>
      <c r="R73" s="155">
        <f t="shared" si="16"/>
        <v>7.4253668651264899</v>
      </c>
      <c r="S73" s="155">
        <f t="shared" si="16"/>
        <v>7.3306467221429479</v>
      </c>
      <c r="T73" s="155">
        <f t="shared" si="16"/>
        <v>7.2459995145494052</v>
      </c>
      <c r="U73" s="155">
        <f t="shared" si="16"/>
        <v>7.1699204206260214</v>
      </c>
      <c r="V73" s="155">
        <f t="shared" si="16"/>
        <v>7.1012226764271782</v>
      </c>
      <c r="W73" s="155">
        <f t="shared" si="16"/>
        <v>7.0389513870999432</v>
      </c>
      <c r="X73" s="155">
        <f t="shared" si="16"/>
        <v>6.9128818005990444</v>
      </c>
      <c r="AB73" s="12">
        <v>67</v>
      </c>
      <c r="AC73" s="18" t="s">
        <v>68</v>
      </c>
      <c r="AD73" s="51"/>
      <c r="AH73" s="160"/>
    </row>
    <row r="74" spans="5:34" x14ac:dyDescent="0.2">
      <c r="E74" s="267"/>
      <c r="F74" s="154"/>
      <c r="G74" s="12"/>
      <c r="J74" s="160" t="s">
        <v>132</v>
      </c>
      <c r="K74" s="155" cm="1">
        <f t="array" ref="K74">INDEX(jurisdictional_inputs,_xlfn.XMATCH("Sales Tax",jurisdictional_inputs_rows),_xlfn.XMATCH(selected.location,jurisdictions))*SUM(K58:K61)</f>
        <v>60.490988560899289</v>
      </c>
      <c r="L74" s="155" cm="1">
        <f t="array" ref="L74">INDEX(jurisdictional_inputs,_xlfn.XMATCH("Sales Tax",jurisdictional_inputs_rows),_xlfn.XMATCH(selected.location,jurisdictions))*SUM(L58:L61)</f>
        <v>55.572849244617615</v>
      </c>
      <c r="M74" s="155" cm="1">
        <f t="array" ref="M74">INDEX(jurisdictional_inputs,_xlfn.XMATCH("Sales Tax",jurisdictional_inputs_rows),_xlfn.XMATCH(selected.location,jurisdictions))*SUM(M58:M61)</f>
        <v>51.895770741024329</v>
      </c>
      <c r="N74" s="155" cm="1">
        <f t="array" ref="N74">INDEX(jurisdictional_inputs,_xlfn.XMATCH("Sales Tax",jurisdictional_inputs_rows),_xlfn.XMATCH(selected.location,jurisdictions))*SUM(N58:N61)</f>
        <v>48.933296691661994</v>
      </c>
      <c r="O74" s="155" cm="1">
        <f t="array" ref="O74">INDEX(jurisdictional_inputs,_xlfn.XMATCH("Sales Tax",jurisdictional_inputs_rows),_xlfn.XMATCH(selected.location,jurisdictions))*SUM(O58:O61)</f>
        <v>46.447451303059282</v>
      </c>
      <c r="P74" s="155" cm="1">
        <f t="array" ref="P74">INDEX(jurisdictional_inputs,_xlfn.XMATCH("Sales Tax",jurisdictional_inputs_rows),_xlfn.XMATCH(selected.location,jurisdictions))*SUM(P58:P61)</f>
        <v>44.306628473298765</v>
      </c>
      <c r="Q74" s="155" cm="1">
        <f t="array" ref="Q74">INDEX(jurisdictional_inputs,_xlfn.XMATCH("Sales Tax",jurisdictional_inputs_rows),_xlfn.XMATCH(selected.location,jurisdictions))*SUM(Q58:Q61)</f>
        <v>42.428964738686687</v>
      </c>
      <c r="R74" s="155" cm="1">
        <f t="array" ref="R74">INDEX(jurisdictional_inputs,_xlfn.XMATCH("Sales Tax",jurisdictional_inputs_rows),_xlfn.XMATCH(selected.location,jurisdictions))*SUM(R58:R61)</f>
        <v>40.759430599192598</v>
      </c>
      <c r="S74" s="155" cm="1">
        <f t="array" ref="S74">INDEX(jurisdictional_inputs,_xlfn.XMATCH("Sales Tax",jurisdictional_inputs_rows),_xlfn.XMATCH(selected.location,jurisdictions))*SUM(S58:S61)</f>
        <v>39.258950060495501</v>
      </c>
      <c r="T74" s="155" cm="1">
        <f t="array" ref="T74">INDEX(jurisdictional_inputs,_xlfn.XMATCH("Sales Tax",jurisdictional_inputs_rows),_xlfn.XMATCH(selected.location,jurisdictions))*SUM(T58:T61)</f>
        <v>37.898624519414696</v>
      </c>
      <c r="U74" s="155" cm="1">
        <f t="array" ref="U74">INDEX(jurisdictional_inputs,_xlfn.XMATCH("Sales Tax",jurisdictional_inputs_rows),_xlfn.XMATCH(selected.location,jurisdictions))*SUM(U58:U61)</f>
        <v>36.656403230157906</v>
      </c>
      <c r="V74" s="155" cm="1">
        <f t="array" ref="V74">INDEX(jurisdictional_inputs,_xlfn.XMATCH("Sales Tax",jurisdictional_inputs_rows),_xlfn.XMATCH(selected.location,jurisdictions))*SUM(V58:V61)</f>
        <v>35.515038455617997</v>
      </c>
      <c r="W74" s="155" cm="1">
        <f t="array" ref="W74">INDEX(jurisdictional_inputs,_xlfn.XMATCH("Sales Tax",jurisdictional_inputs_rows),_xlfn.XMATCH(selected.location,jurisdictions))*SUM(W58:W61)</f>
        <v>34.460764957995274</v>
      </c>
      <c r="X74" s="155" cm="1">
        <f t="array" ref="X74">INDEX(jurisdictional_inputs,_xlfn.XMATCH("Sales Tax",jurisdictional_inputs_rows),_xlfn.XMATCH(selected.location,jurisdictions))*SUM(X58:X61)</f>
        <v>33.126499556999228</v>
      </c>
      <c r="AB74" s="12">
        <v>68</v>
      </c>
      <c r="AC74" s="18" t="s">
        <v>70</v>
      </c>
      <c r="AD74" s="51"/>
      <c r="AH74" s="160"/>
    </row>
    <row r="75" spans="5:34" x14ac:dyDescent="0.2">
      <c r="E75" s="267"/>
      <c r="F75" s="154"/>
      <c r="G75" s="12"/>
      <c r="J75" s="160" t="s">
        <v>133</v>
      </c>
      <c r="K75" s="155">
        <f t="shared" ref="K75:X75" si="17">(1549755*USD_to_CAD)/1000/1000</f>
        <v>2.0146815</v>
      </c>
      <c r="L75" s="155">
        <f t="shared" si="17"/>
        <v>2.0146815</v>
      </c>
      <c r="M75" s="155">
        <f t="shared" si="17"/>
        <v>2.0146815</v>
      </c>
      <c r="N75" s="155">
        <f t="shared" si="17"/>
        <v>2.0146815</v>
      </c>
      <c r="O75" s="155">
        <f t="shared" si="17"/>
        <v>2.0146815</v>
      </c>
      <c r="P75" s="155">
        <f t="shared" si="17"/>
        <v>2.0146815</v>
      </c>
      <c r="Q75" s="155">
        <f t="shared" si="17"/>
        <v>2.0146815</v>
      </c>
      <c r="R75" s="155">
        <f t="shared" si="17"/>
        <v>2.0146815</v>
      </c>
      <c r="S75" s="155">
        <f t="shared" si="17"/>
        <v>2.0146815</v>
      </c>
      <c r="T75" s="155">
        <f t="shared" si="17"/>
        <v>2.0146815</v>
      </c>
      <c r="U75" s="155">
        <f t="shared" si="17"/>
        <v>2.0146815</v>
      </c>
      <c r="V75" s="155">
        <f t="shared" si="17"/>
        <v>2.0146815</v>
      </c>
      <c r="W75" s="155">
        <f t="shared" si="17"/>
        <v>2.0146815</v>
      </c>
      <c r="X75" s="155">
        <f t="shared" si="17"/>
        <v>2.0146815</v>
      </c>
      <c r="AB75" s="12">
        <v>69</v>
      </c>
      <c r="AC75" s="18" t="s">
        <v>68</v>
      </c>
      <c r="AD75" s="51"/>
      <c r="AH75" s="160"/>
    </row>
    <row r="76" spans="5:34" x14ac:dyDescent="0.2">
      <c r="E76" s="267"/>
      <c r="F76" s="154"/>
      <c r="G76" s="12"/>
      <c r="J76" s="160" t="s">
        <v>134</v>
      </c>
      <c r="K76" s="155">
        <f>4%*SUM(K58:K61,K75)</f>
        <v>18.693199124892086</v>
      </c>
      <c r="L76" s="155">
        <f t="shared" ref="L76:X76" si="18">4%*SUM(L58:L61,L75)</f>
        <v>17.179925489113113</v>
      </c>
      <c r="M76" s="155">
        <f t="shared" si="18"/>
        <v>16.048516718776717</v>
      </c>
      <c r="N76" s="155">
        <f t="shared" si="18"/>
        <v>15.136986242049844</v>
      </c>
      <c r="O76" s="155">
        <f t="shared" si="18"/>
        <v>14.372110737864393</v>
      </c>
      <c r="P76" s="155">
        <f t="shared" si="18"/>
        <v>13.713396021015003</v>
      </c>
      <c r="Q76" s="155">
        <f t="shared" si="18"/>
        <v>13.135653333442058</v>
      </c>
      <c r="R76" s="155">
        <f t="shared" si="18"/>
        <v>12.62195052129003</v>
      </c>
      <c r="S76" s="155">
        <f t="shared" si="18"/>
        <v>12.160264201690923</v>
      </c>
      <c r="T76" s="155">
        <f t="shared" si="18"/>
        <v>11.741702496742983</v>
      </c>
      <c r="U76" s="155">
        <f t="shared" si="18"/>
        <v>11.359480561587047</v>
      </c>
      <c r="V76" s="155">
        <f t="shared" si="18"/>
        <v>11.008291400190153</v>
      </c>
      <c r="W76" s="155">
        <f t="shared" si="18"/>
        <v>10.683899554767777</v>
      </c>
      <c r="X76" s="155">
        <f t="shared" si="18"/>
        <v>10.273356354461303</v>
      </c>
      <c r="AB76" s="12">
        <v>70</v>
      </c>
      <c r="AC76" s="18" t="s">
        <v>68</v>
      </c>
      <c r="AD76" s="51"/>
      <c r="AH76" s="160"/>
    </row>
    <row r="77" spans="5:34" x14ac:dyDescent="0.2">
      <c r="E77" s="267"/>
      <c r="F77" s="154"/>
      <c r="G77" s="12"/>
      <c r="J77" s="160" t="s">
        <v>136</v>
      </c>
      <c r="K77" s="155">
        <f>3%*SUM(K58:K61,K75)</f>
        <v>14.019899343669065</v>
      </c>
      <c r="L77" s="155">
        <f t="shared" ref="L77:X77" si="19">3%*SUM(L58:L61,L75)</f>
        <v>12.884944116834832</v>
      </c>
      <c r="M77" s="155">
        <f t="shared" si="19"/>
        <v>12.036387539082536</v>
      </c>
      <c r="N77" s="155">
        <f t="shared" si="19"/>
        <v>11.352739681537383</v>
      </c>
      <c r="O77" s="155">
        <f t="shared" si="19"/>
        <v>10.779083053398294</v>
      </c>
      <c r="P77" s="155">
        <f t="shared" si="19"/>
        <v>10.285047015761252</v>
      </c>
      <c r="Q77" s="155">
        <f t="shared" si="19"/>
        <v>9.8517400000815432</v>
      </c>
      <c r="R77" s="155">
        <f t="shared" si="19"/>
        <v>9.4664628909675219</v>
      </c>
      <c r="S77" s="155">
        <f t="shared" si="19"/>
        <v>9.1201981512681911</v>
      </c>
      <c r="T77" s="155">
        <f t="shared" si="19"/>
        <v>8.8062768725572358</v>
      </c>
      <c r="U77" s="155">
        <f t="shared" si="19"/>
        <v>8.5196104211902846</v>
      </c>
      <c r="V77" s="155">
        <f t="shared" si="19"/>
        <v>8.2562185501426146</v>
      </c>
      <c r="W77" s="155">
        <f t="shared" si="19"/>
        <v>8.0129246660758326</v>
      </c>
      <c r="X77" s="155">
        <f t="shared" si="19"/>
        <v>7.705017265845977</v>
      </c>
      <c r="AB77" s="12">
        <v>71</v>
      </c>
      <c r="AC77" s="18" t="s">
        <v>68</v>
      </c>
      <c r="AD77" s="51"/>
      <c r="AH77" s="160"/>
    </row>
    <row r="78" spans="5:34" x14ac:dyDescent="0.2">
      <c r="E78" s="267"/>
      <c r="F78" s="154"/>
      <c r="G78" s="12"/>
      <c r="J78" s="160" t="s">
        <v>138</v>
      </c>
      <c r="K78" s="155">
        <f>5%*SUM(K58:K61,K75,K76,K77)</f>
        <v>25.002153829543168</v>
      </c>
      <c r="L78" s="155">
        <f t="shared" ref="L78:X78" si="20">5%*SUM(L58:L61,L75,L76,L77)</f>
        <v>22.978150341688789</v>
      </c>
      <c r="M78" s="155">
        <f t="shared" si="20"/>
        <v>21.464891111363858</v>
      </c>
      <c r="N78" s="155">
        <f t="shared" si="20"/>
        <v>20.245719098741667</v>
      </c>
      <c r="O78" s="155">
        <f t="shared" si="20"/>
        <v>19.222698111893624</v>
      </c>
      <c r="P78" s="155">
        <f t="shared" si="20"/>
        <v>18.341667178107567</v>
      </c>
      <c r="Q78" s="155">
        <f t="shared" si="20"/>
        <v>17.568936333478753</v>
      </c>
      <c r="R78" s="155">
        <f t="shared" si="20"/>
        <v>16.881858822225418</v>
      </c>
      <c r="S78" s="155">
        <f t="shared" si="20"/>
        <v>16.264353369761611</v>
      </c>
      <c r="T78" s="155">
        <f t="shared" si="20"/>
        <v>15.704527089393739</v>
      </c>
      <c r="U78" s="155">
        <f t="shared" si="20"/>
        <v>15.193305251122675</v>
      </c>
      <c r="V78" s="155">
        <f t="shared" si="20"/>
        <v>14.72358974775433</v>
      </c>
      <c r="W78" s="155">
        <f t="shared" si="20"/>
        <v>14.289715654501903</v>
      </c>
      <c r="X78" s="155">
        <f t="shared" si="20"/>
        <v>13.740614124091994</v>
      </c>
      <c r="AB78" s="12">
        <v>72</v>
      </c>
      <c r="AC78" s="18" t="s">
        <v>68</v>
      </c>
      <c r="AD78" s="51"/>
      <c r="AH78" s="160"/>
    </row>
    <row r="79" spans="5:34" x14ac:dyDescent="0.2">
      <c r="E79" s="267"/>
      <c r="F79" s="154"/>
      <c r="G79" s="12"/>
      <c r="K79" s="155"/>
      <c r="L79" s="155"/>
      <c r="M79" s="155"/>
      <c r="N79" s="155"/>
      <c r="O79" s="155"/>
      <c r="P79" s="155"/>
      <c r="Q79" s="155"/>
      <c r="R79" s="155"/>
      <c r="S79" s="155"/>
      <c r="T79" s="155"/>
      <c r="U79" s="155"/>
      <c r="V79" s="155"/>
      <c r="W79" s="155"/>
      <c r="X79" s="155"/>
      <c r="AB79" s="12">
        <v>73</v>
      </c>
      <c r="AC79" s="18"/>
      <c r="AD79" s="51"/>
      <c r="AH79" s="160"/>
    </row>
    <row r="80" spans="5:34" x14ac:dyDescent="0.2">
      <c r="E80" s="267"/>
      <c r="F80" s="154"/>
      <c r="G80" s="12"/>
      <c r="K80" s="155"/>
      <c r="L80" s="155"/>
      <c r="M80" s="155"/>
      <c r="N80" s="155"/>
      <c r="O80" s="155"/>
      <c r="P80" s="155"/>
      <c r="Q80" s="155"/>
      <c r="R80" s="155"/>
      <c r="S80" s="155"/>
      <c r="T80" s="155"/>
      <c r="U80" s="155"/>
      <c r="V80" s="155"/>
      <c r="W80" s="155"/>
      <c r="X80" s="155"/>
      <c r="AB80" s="12">
        <v>74</v>
      </c>
      <c r="AC80" s="18"/>
      <c r="AD80" s="51"/>
      <c r="AH80" s="160"/>
    </row>
    <row r="81" spans="7:30" x14ac:dyDescent="0.2">
      <c r="G81" s="19" t="str">
        <f>"OPEX (2022$M/year) - "&amp;selected.location</f>
        <v>OPEX (2022$M/year) - Ontario</v>
      </c>
      <c r="J81" s="209"/>
      <c r="K81" s="166" cm="1">
        <f t="array" ref="K81:X81">_xlfn.ANCHORARRAY(K83)+_xlfn.ANCHORARRAY(K88)+_xlfn.ANCHORARRAY(K91)</f>
        <v>16.746113677012236</v>
      </c>
      <c r="L81" s="166">
        <v>15.809290676840064</v>
      </c>
      <c r="M81" s="166">
        <v>14.95957331758849</v>
      </c>
      <c r="N81" s="166">
        <v>14.152359794251804</v>
      </c>
      <c r="O81" s="166">
        <v>13.373672385125495</v>
      </c>
      <c r="P81" s="166">
        <v>12.819996403193972</v>
      </c>
      <c r="Q81" s="166">
        <v>12.281438155525318</v>
      </c>
      <c r="R81" s="166">
        <v>11.756015202780924</v>
      </c>
      <c r="S81" s="166">
        <v>11.242448830939697</v>
      </c>
      <c r="T81" s="166">
        <v>10.762464485469796</v>
      </c>
      <c r="U81" s="166">
        <v>10.484823208091841</v>
      </c>
      <c r="V81" s="166">
        <v>10.019403523559713</v>
      </c>
      <c r="W81" s="166">
        <v>9.7527328654295555</v>
      </c>
      <c r="X81" s="166">
        <v>9.3004482306785956</v>
      </c>
      <c r="AB81" s="12">
        <v>75</v>
      </c>
      <c r="AC81" s="18"/>
      <c r="AD81" s="51"/>
    </row>
    <row r="82" spans="7:30" x14ac:dyDescent="0.2">
      <c r="G82" s="19"/>
      <c r="H82" s="19" t="s">
        <v>279</v>
      </c>
      <c r="J82" s="209"/>
      <c r="K82" s="166"/>
      <c r="L82" s="166"/>
      <c r="M82" s="166"/>
      <c r="N82" s="166"/>
      <c r="O82" s="166"/>
      <c r="P82" s="166"/>
      <c r="Q82" s="166"/>
      <c r="R82" s="166"/>
      <c r="S82" s="166"/>
      <c r="T82" s="166"/>
      <c r="U82" s="166"/>
      <c r="V82" s="166"/>
      <c r="W82" s="166"/>
      <c r="X82" s="166"/>
      <c r="AB82" s="12">
        <v>76</v>
      </c>
      <c r="AC82" s="18"/>
      <c r="AD82" s="51"/>
    </row>
    <row r="83" spans="7:30" x14ac:dyDescent="0.2">
      <c r="G83" s="12"/>
      <c r="I83" s="19" t="s">
        <v>148</v>
      </c>
      <c r="J83" s="210"/>
      <c r="K83" s="151" cm="1">
        <f t="array" ref="K83:X83">K84:X84+K85:X85+K86:X86+_xlfn.ANCHORARRAY(K87)</f>
        <v>14.311313677012237</v>
      </c>
      <c r="L83" s="166">
        <v>13.408240676840064</v>
      </c>
      <c r="M83" s="166">
        <v>12.592273317588489</v>
      </c>
      <c r="N83" s="166">
        <v>11.818809794251804</v>
      </c>
      <c r="O83" s="166">
        <v>11.073872385125496</v>
      </c>
      <c r="P83" s="166">
        <v>10.542696403193972</v>
      </c>
      <c r="Q83" s="166">
        <v>10.026638155525319</v>
      </c>
      <c r="R83" s="166">
        <v>9.5237152027809238</v>
      </c>
      <c r="S83" s="166">
        <v>9.0326488309396975</v>
      </c>
      <c r="T83" s="166">
        <v>8.575164485469795</v>
      </c>
      <c r="U83" s="166">
        <v>8.3087732080918411</v>
      </c>
      <c r="V83" s="166">
        <v>7.8658535235597142</v>
      </c>
      <c r="W83" s="166">
        <v>7.610432865429555</v>
      </c>
      <c r="X83" s="166">
        <v>7.180648230678595</v>
      </c>
      <c r="AB83" s="12">
        <v>77</v>
      </c>
      <c r="AC83" s="18"/>
      <c r="AD83" s="51"/>
    </row>
    <row r="84" spans="7:30" x14ac:dyDescent="0.2">
      <c r="G84" s="12"/>
      <c r="J84" s="205" t="s">
        <v>236</v>
      </c>
      <c r="K84" s="155" cm="1">
        <f t="array" ref="K84:X86">_xlfn.ANCHORARRAY(K118)*wind_selected.num.turbine</f>
        <v>6.9155564375883092</v>
      </c>
      <c r="L84" s="155">
        <v>6.5281161377186097</v>
      </c>
      <c r="M84" s="155">
        <v>6.1468994698349171</v>
      </c>
      <c r="N84" s="155">
        <v>5.7719064339372306</v>
      </c>
      <c r="O84" s="155">
        <v>5.4031370300255563</v>
      </c>
      <c r="P84" s="155">
        <v>5.1434604674488638</v>
      </c>
      <c r="Q84" s="155">
        <v>4.8879329928628454</v>
      </c>
      <c r="R84" s="155">
        <v>4.6365546062674969</v>
      </c>
      <c r="S84" s="155">
        <v>4.3893253076628218</v>
      </c>
      <c r="T84" s="155">
        <v>4.1583869420437445</v>
      </c>
      <c r="U84" s="155">
        <v>4.0287023306809786</v>
      </c>
      <c r="V84" s="155">
        <v>3.8030012282130894</v>
      </c>
      <c r="W84" s="155">
        <v>3.6770575191011732</v>
      </c>
      <c r="X84" s="155">
        <v>3.4565936797844721</v>
      </c>
      <c r="AB84" s="12">
        <v>78</v>
      </c>
      <c r="AC84" s="18" t="s">
        <v>237</v>
      </c>
      <c r="AD84" s="51"/>
    </row>
    <row r="85" spans="7:30" x14ac:dyDescent="0.2">
      <c r="G85" s="12"/>
      <c r="J85" s="205" t="s">
        <v>238</v>
      </c>
      <c r="K85" s="155">
        <v>2.0165162306710935</v>
      </c>
      <c r="L85" s="155">
        <v>1.9035420021828677</v>
      </c>
      <c r="M85" s="155">
        <v>1.7923825307610854</v>
      </c>
      <c r="N85" s="155">
        <v>1.683037816405748</v>
      </c>
      <c r="O85" s="155">
        <v>1.5755078591168552</v>
      </c>
      <c r="P85" s="155">
        <v>1.499788427443272</v>
      </c>
      <c r="Q85" s="155">
        <v>1.425278833813985</v>
      </c>
      <c r="R85" s="155">
        <v>1.3519790782289944</v>
      </c>
      <c r="S85" s="155">
        <v>1.2798891606883003</v>
      </c>
      <c r="T85" s="155">
        <v>1.2125495378020863</v>
      </c>
      <c r="U85" s="155">
        <v>1.1747346307817503</v>
      </c>
      <c r="V85" s="155">
        <v>1.1089221483713576</v>
      </c>
      <c r="W85" s="155">
        <v>1.072198055976608</v>
      </c>
      <c r="X85" s="155">
        <v>1.0079127140420365</v>
      </c>
      <c r="AB85" s="12">
        <v>79</v>
      </c>
      <c r="AC85" s="18" t="s">
        <v>239</v>
      </c>
      <c r="AD85" s="51"/>
    </row>
    <row r="86" spans="7:30" x14ac:dyDescent="0.2">
      <c r="G86" s="12"/>
      <c r="J86" s="205" t="s">
        <v>240</v>
      </c>
      <c r="K86" s="155">
        <v>3.939241008752834</v>
      </c>
      <c r="L86" s="155">
        <v>3.7185471670549042</v>
      </c>
      <c r="M86" s="155">
        <v>3.5013984321844456</v>
      </c>
      <c r="N86" s="155">
        <v>3.2877948041414604</v>
      </c>
      <c r="O86" s="155">
        <v>3.0777362829259491</v>
      </c>
      <c r="P86" s="155">
        <v>2.9298192536101118</v>
      </c>
      <c r="Q86" s="155">
        <v>2.7842656288459233</v>
      </c>
      <c r="R86" s="155">
        <v>2.6410754086333843</v>
      </c>
      <c r="S86" s="155">
        <v>2.5002485929724929</v>
      </c>
      <c r="T86" s="155">
        <v>2.3687014226831455</v>
      </c>
      <c r="U86" s="155">
        <v>2.2948304415271399</v>
      </c>
      <c r="V86" s="155">
        <v>2.1662665223998609</v>
      </c>
      <c r="W86" s="155">
        <v>2.0945264349310482</v>
      </c>
      <c r="X86" s="155">
        <v>1.9689457669658386</v>
      </c>
      <c r="AB86" s="12">
        <v>80</v>
      </c>
      <c r="AC86" s="18" t="s">
        <v>241</v>
      </c>
      <c r="AD86" s="51"/>
    </row>
    <row r="87" spans="7:30" x14ac:dyDescent="0.2">
      <c r="J87" s="205" t="s">
        <v>284</v>
      </c>
      <c r="K87" s="155" cm="1">
        <f t="array" ref="K87:X87">_xlfn.ANCHORARRAY(K136)*K20:X20*1000/1000000</f>
        <v>1.44</v>
      </c>
      <c r="L87" s="155">
        <v>1.2580353698836826</v>
      </c>
      <c r="M87" s="155">
        <v>1.1515928848080415</v>
      </c>
      <c r="N87" s="155">
        <v>1.0760707397673652</v>
      </c>
      <c r="O87" s="155">
        <v>1.0174912130571356</v>
      </c>
      <c r="P87" s="155">
        <v>0.9696282546917242</v>
      </c>
      <c r="Q87" s="155">
        <v>0.92916070000256523</v>
      </c>
      <c r="R87" s="155">
        <v>0.89410610965104809</v>
      </c>
      <c r="S87" s="155">
        <v>0.86318576961608273</v>
      </c>
      <c r="T87" s="155">
        <v>0.83552658294081839</v>
      </c>
      <c r="U87" s="155">
        <v>0.81050580510197123</v>
      </c>
      <c r="V87" s="155">
        <v>0.78766362457540673</v>
      </c>
      <c r="W87" s="155">
        <v>0.76665085542072653</v>
      </c>
      <c r="X87" s="155">
        <v>0.74719606988624787</v>
      </c>
      <c r="AB87" s="12">
        <v>81</v>
      </c>
      <c r="AC87" s="18" t="s">
        <v>284</v>
      </c>
    </row>
    <row r="88" spans="7:30" x14ac:dyDescent="0.2">
      <c r="G88" s="12"/>
      <c r="I88" s="19" t="s">
        <v>150</v>
      </c>
      <c r="K88" s="151" cm="1">
        <f t="array" ref="K88:X88">K89:X89+K90:X90</f>
        <v>2.13</v>
      </c>
      <c r="L88" s="166">
        <v>2.0962499999999999</v>
      </c>
      <c r="M88" s="166">
        <v>2.0625</v>
      </c>
      <c r="N88" s="166">
        <v>2.0287500000000001</v>
      </c>
      <c r="O88" s="166">
        <v>1.9949999999999999</v>
      </c>
      <c r="P88" s="166">
        <v>1.9724999999999999</v>
      </c>
      <c r="Q88" s="166">
        <v>1.95</v>
      </c>
      <c r="R88" s="166">
        <v>1.9275</v>
      </c>
      <c r="S88" s="166">
        <v>1.905</v>
      </c>
      <c r="T88" s="166">
        <v>1.8825000000000001</v>
      </c>
      <c r="U88" s="166">
        <v>1.8712500000000001</v>
      </c>
      <c r="V88" s="166">
        <v>1.8487499999999999</v>
      </c>
      <c r="W88" s="166">
        <v>1.8374999999999999</v>
      </c>
      <c r="X88" s="166">
        <v>1.8149999999999999</v>
      </c>
      <c r="AB88" s="12">
        <v>82</v>
      </c>
      <c r="AC88" s="18" t="s">
        <v>242</v>
      </c>
      <c r="AD88" s="51"/>
    </row>
    <row r="89" spans="7:30" x14ac:dyDescent="0.2">
      <c r="G89" s="12"/>
      <c r="J89" s="207" t="s">
        <v>243</v>
      </c>
      <c r="K89" s="155" cm="1">
        <f t="array" ref="K89:X89">(K121:X121*wind_selected.num.turbine+_xlfn.ANCHORARRAY(K137)*K20:X20*1000)*0.75/1000000</f>
        <v>1.89</v>
      </c>
      <c r="L89" s="155">
        <v>1.85625</v>
      </c>
      <c r="M89" s="155">
        <v>1.8225</v>
      </c>
      <c r="N89" s="155">
        <v>1.7887500000000001</v>
      </c>
      <c r="O89" s="155">
        <v>1.7549999999999999</v>
      </c>
      <c r="P89" s="155">
        <v>1.7324999999999999</v>
      </c>
      <c r="Q89" s="155">
        <v>1.71</v>
      </c>
      <c r="R89" s="155">
        <v>1.6875</v>
      </c>
      <c r="S89" s="155">
        <v>1.665</v>
      </c>
      <c r="T89" s="155">
        <v>1.6425000000000001</v>
      </c>
      <c r="U89" s="155">
        <v>1.6312500000000001</v>
      </c>
      <c r="V89" s="155">
        <v>1.6087499999999999</v>
      </c>
      <c r="W89" s="155">
        <v>1.5974999999999999</v>
      </c>
      <c r="X89" s="155">
        <v>1.575</v>
      </c>
      <c r="AB89" s="12">
        <v>83</v>
      </c>
      <c r="AC89" s="18" t="s">
        <v>244</v>
      </c>
      <c r="AD89" s="51"/>
    </row>
    <row r="90" spans="7:30" x14ac:dyDescent="0.2">
      <c r="G90" s="12"/>
      <c r="J90" s="207" t="s">
        <v>245</v>
      </c>
      <c r="K90" s="155">
        <f t="shared" ref="K90:X90" si="21">K122*K$12*1000/1000/1000</f>
        <v>0.24</v>
      </c>
      <c r="L90" s="155">
        <f t="shared" si="21"/>
        <v>0.24</v>
      </c>
      <c r="M90" s="155">
        <f t="shared" si="21"/>
        <v>0.24</v>
      </c>
      <c r="N90" s="155">
        <f t="shared" si="21"/>
        <v>0.24</v>
      </c>
      <c r="O90" s="155">
        <f t="shared" si="21"/>
        <v>0.24</v>
      </c>
      <c r="P90" s="155">
        <f t="shared" si="21"/>
        <v>0.24</v>
      </c>
      <c r="Q90" s="155">
        <f t="shared" si="21"/>
        <v>0.24</v>
      </c>
      <c r="R90" s="155">
        <f t="shared" si="21"/>
        <v>0.24</v>
      </c>
      <c r="S90" s="155">
        <f t="shared" si="21"/>
        <v>0.24</v>
      </c>
      <c r="T90" s="155">
        <f t="shared" si="21"/>
        <v>0.24</v>
      </c>
      <c r="U90" s="155">
        <f t="shared" si="21"/>
        <v>0.24</v>
      </c>
      <c r="V90" s="155">
        <f t="shared" si="21"/>
        <v>0.24</v>
      </c>
      <c r="W90" s="155">
        <f t="shared" si="21"/>
        <v>0.24</v>
      </c>
      <c r="X90" s="155">
        <f t="shared" si="21"/>
        <v>0.24</v>
      </c>
      <c r="AB90" s="12">
        <v>84</v>
      </c>
      <c r="AC90" s="18" t="s">
        <v>246</v>
      </c>
      <c r="AD90" s="51"/>
    </row>
    <row r="91" spans="7:30" x14ac:dyDescent="0.2">
      <c r="G91" s="12"/>
      <c r="I91" s="19" t="s">
        <v>152</v>
      </c>
      <c r="J91" s="210"/>
      <c r="K91" s="166" cm="1">
        <f t="array" ref="K91:X91">(K123:X123*wind_selected.plant.capacity*1000+_xlfn.ANCHORARRAY(K138)*K20:X20*1000)*0.75/1000/1000</f>
        <v>0.30480000000000002</v>
      </c>
      <c r="L91" s="166">
        <v>0.30480000000000002</v>
      </c>
      <c r="M91" s="166">
        <v>0.30480000000000002</v>
      </c>
      <c r="N91" s="166">
        <v>0.30480000000000002</v>
      </c>
      <c r="O91" s="166">
        <v>0.30480000000000002</v>
      </c>
      <c r="P91" s="166">
        <v>0.30480000000000002</v>
      </c>
      <c r="Q91" s="166">
        <v>0.30480000000000002</v>
      </c>
      <c r="R91" s="166">
        <v>0.30480000000000002</v>
      </c>
      <c r="S91" s="166">
        <v>0.30480000000000002</v>
      </c>
      <c r="T91" s="166">
        <v>0.30480000000000002</v>
      </c>
      <c r="U91" s="166">
        <v>0.30480000000000002</v>
      </c>
      <c r="V91" s="166">
        <v>0.30480000000000002</v>
      </c>
      <c r="W91" s="166">
        <v>0.30480000000000002</v>
      </c>
      <c r="X91" s="166">
        <v>0.30480000000000002</v>
      </c>
      <c r="AB91" s="12">
        <v>85</v>
      </c>
      <c r="AC91" s="18" t="s">
        <v>247</v>
      </c>
      <c r="AD91" s="51"/>
    </row>
    <row r="92" spans="7:30" x14ac:dyDescent="0.2">
      <c r="J92" s="209"/>
      <c r="AB92" s="12">
        <v>86</v>
      </c>
      <c r="AC92" s="18"/>
    </row>
    <row r="93" spans="7:30" x14ac:dyDescent="0.2">
      <c r="J93" s="209"/>
      <c r="AB93" s="12">
        <v>87</v>
      </c>
      <c r="AC93" s="18"/>
    </row>
    <row r="94" spans="7:30" x14ac:dyDescent="0.2">
      <c r="J94" s="209"/>
      <c r="AB94" s="12">
        <v>88</v>
      </c>
      <c r="AC94" s="18"/>
    </row>
    <row r="95" spans="7:30" x14ac:dyDescent="0.2">
      <c r="J95" s="209"/>
      <c r="AB95" s="12">
        <v>89</v>
      </c>
      <c r="AC95" s="18"/>
    </row>
    <row r="96" spans="7:30" x14ac:dyDescent="0.2">
      <c r="AB96" s="12">
        <v>90</v>
      </c>
      <c r="AC96" s="18"/>
    </row>
    <row r="97" spans="6:30" x14ac:dyDescent="0.2">
      <c r="G97" s="156" t="s">
        <v>81</v>
      </c>
      <c r="AB97" s="12">
        <v>91</v>
      </c>
      <c r="AC97" s="18"/>
      <c r="AD97" s="51"/>
    </row>
    <row r="98" spans="6:30" x14ac:dyDescent="0.2">
      <c r="G98" s="19"/>
      <c r="H98" s="19" t="s">
        <v>82</v>
      </c>
      <c r="AB98" s="12">
        <v>92</v>
      </c>
      <c r="AC98" s="18"/>
      <c r="AD98" s="51"/>
    </row>
    <row r="99" spans="6:30" x14ac:dyDescent="0.2">
      <c r="G99" s="12"/>
      <c r="I99" s="19" t="s">
        <v>248</v>
      </c>
      <c r="AB99" s="12">
        <v>93</v>
      </c>
      <c r="AC99" s="18"/>
      <c r="AD99" s="51"/>
    </row>
    <row r="100" spans="6:30" x14ac:dyDescent="0.2">
      <c r="G100" s="12"/>
      <c r="J100" s="160" t="s">
        <v>249</v>
      </c>
      <c r="K100" s="273" cm="1">
        <f t="array" ref="K100:X100">Inputs.Wind!R201:AE201</f>
        <v>135.58199999999999</v>
      </c>
      <c r="L100" s="273">
        <v>141.16060000000002</v>
      </c>
      <c r="M100" s="273">
        <v>146.8032</v>
      </c>
      <c r="N100" s="273">
        <v>152.3922</v>
      </c>
      <c r="O100" s="273">
        <v>157.81</v>
      </c>
      <c r="P100" s="273">
        <v>162.93900000000002</v>
      </c>
      <c r="Q100" s="273">
        <v>167.66160000000002</v>
      </c>
      <c r="R100" s="273">
        <v>171.86020000000002</v>
      </c>
      <c r="S100" s="273">
        <v>175.41720000000001</v>
      </c>
      <c r="T100" s="273">
        <v>178.21500000000003</v>
      </c>
      <c r="U100" s="273">
        <v>180.13600000000002</v>
      </c>
      <c r="V100" s="273">
        <v>181.06260000000003</v>
      </c>
      <c r="W100" s="273">
        <v>181.06260000000003</v>
      </c>
      <c r="X100" s="273">
        <v>181.06260000000003</v>
      </c>
      <c r="AB100" s="12">
        <v>94</v>
      </c>
      <c r="AC100" s="18" t="s">
        <v>202</v>
      </c>
      <c r="AD100" s="51"/>
    </row>
    <row r="101" spans="6:30" x14ac:dyDescent="0.2">
      <c r="F101" s="30"/>
      <c r="G101" s="12"/>
      <c r="J101" s="160" t="s">
        <v>250</v>
      </c>
      <c r="K101" s="155" cm="1">
        <f t="array" ref="K101:X101">forecast_wind.blade.costs_CA*_xlfn.IFS(selected.location="Canada",derate.CA,selected.location="Alberta",derate.AB,selected.location="Ontario",derate.ON)</f>
        <v>0.75190694894167953</v>
      </c>
      <c r="L101" s="155">
        <v>0.82382090457998036</v>
      </c>
      <c r="M101" s="155">
        <v>0.90031151582620261</v>
      </c>
      <c r="N101" s="155">
        <v>0.97983357850440578</v>
      </c>
      <c r="O101" s="155">
        <v>1.060525106048849</v>
      </c>
      <c r="P101" s="155">
        <v>1.1402160879537324</v>
      </c>
      <c r="Q101" s="155">
        <v>1.2164556356684226</v>
      </c>
      <c r="R101" s="155">
        <v>1.2865582752915388</v>
      </c>
      <c r="S101" s="155">
        <v>1.347669883756035</v>
      </c>
      <c r="T101" s="155">
        <v>1.3968534573553466</v>
      </c>
      <c r="U101" s="155">
        <v>1.4311945460117754</v>
      </c>
      <c r="V101" s="155">
        <v>1.4479257749255843</v>
      </c>
      <c r="W101" s="155">
        <v>1.4479257749255843</v>
      </c>
      <c r="X101" s="155">
        <v>1.4479257749255843</v>
      </c>
      <c r="AB101" s="12">
        <v>95</v>
      </c>
      <c r="AC101" s="18" t="s">
        <v>202</v>
      </c>
      <c r="AD101" s="51"/>
    </row>
    <row r="102" spans="6:30" x14ac:dyDescent="0.2">
      <c r="G102" s="12"/>
      <c r="J102" s="160" t="s">
        <v>251</v>
      </c>
      <c r="K102" s="155" cm="1">
        <f t="array" ref="K102:X102">forecast_wind.hub.assembly.costs_CA*_xlfn.IFS(selected.location="Canada",derate.CA,selected.location="Alberta",derate.AB,selected.location="Ontario",derate.ON)</f>
        <v>0.20041972770111879</v>
      </c>
      <c r="L102" s="155">
        <v>0.20041972770111879</v>
      </c>
      <c r="M102" s="155">
        <v>0.20041972770111879</v>
      </c>
      <c r="N102" s="155">
        <v>0.20041972770111879</v>
      </c>
      <c r="O102" s="155">
        <v>0.20041972770111879</v>
      </c>
      <c r="P102" s="155">
        <v>0.20041972770111879</v>
      </c>
      <c r="Q102" s="155">
        <v>0.20041972770111879</v>
      </c>
      <c r="R102" s="155">
        <v>0.20041972770111879</v>
      </c>
      <c r="S102" s="155">
        <v>0.20041972770111879</v>
      </c>
      <c r="T102" s="155">
        <v>0.20041972770111879</v>
      </c>
      <c r="U102" s="155">
        <v>0.20041972770111879</v>
      </c>
      <c r="V102" s="155">
        <v>0.20041972770111879</v>
      </c>
      <c r="W102" s="155">
        <v>0.20041972770111879</v>
      </c>
      <c r="X102" s="155">
        <v>0.20041972770111879</v>
      </c>
      <c r="AB102" s="12">
        <v>96</v>
      </c>
      <c r="AC102" s="18" t="s">
        <v>202</v>
      </c>
      <c r="AD102" s="51"/>
    </row>
    <row r="103" spans="6:30" x14ac:dyDescent="0.2">
      <c r="G103" s="12"/>
      <c r="J103" s="160" t="s">
        <v>252</v>
      </c>
      <c r="K103" s="155" cm="1">
        <f t="array" ref="K103:X103">forecast_wind.pitch.assembly.costs_CA*_xlfn.IFS(selected.location="Canada",derate.CA,selected.location="Alberta",derate.AB,selected.location="Ontario",derate.ON)</f>
        <v>0.26438347058445455</v>
      </c>
      <c r="L103" s="155">
        <v>0.26438347058445455</v>
      </c>
      <c r="M103" s="155">
        <v>0.26438347058445455</v>
      </c>
      <c r="N103" s="155">
        <v>0.26438347058445455</v>
      </c>
      <c r="O103" s="155">
        <v>0.26438347058445455</v>
      </c>
      <c r="P103" s="155">
        <v>0.26438347058445455</v>
      </c>
      <c r="Q103" s="155">
        <v>0.26438347058445455</v>
      </c>
      <c r="R103" s="155">
        <v>0.26438347058445455</v>
      </c>
      <c r="S103" s="155">
        <v>0.26438347058445455</v>
      </c>
      <c r="T103" s="155">
        <v>0.26438347058445455</v>
      </c>
      <c r="U103" s="155">
        <v>0.26438347058445455</v>
      </c>
      <c r="V103" s="155">
        <v>0.26438347058445455</v>
      </c>
      <c r="W103" s="155">
        <v>0.26438347058445455</v>
      </c>
      <c r="X103" s="155">
        <v>0.26438347058445455</v>
      </c>
      <c r="AB103" s="12">
        <v>97</v>
      </c>
      <c r="AC103" s="18" t="s">
        <v>202</v>
      </c>
      <c r="AD103" s="51"/>
    </row>
    <row r="104" spans="6:30" x14ac:dyDescent="0.2">
      <c r="G104" s="12"/>
      <c r="J104" s="160" t="s">
        <v>253</v>
      </c>
      <c r="K104" s="155" cm="1">
        <f t="array" ref="K104:X104">_xlfn.IFS(selected.location="Canada",forecast_wind.blade.transportation.costs_CA,selected.location="Alberta",forecast_wind.blade.transportation.costs_AB,selected.location="Ontario",forecast_wind.blade.transportation.costs_ON)</f>
        <v>0</v>
      </c>
      <c r="L104" s="155">
        <v>1.5888100984054104E-2</v>
      </c>
      <c r="M104" s="155">
        <v>3.2784310171986464E-2</v>
      </c>
      <c r="N104" s="155">
        <v>5.0347121005496209E-2</v>
      </c>
      <c r="O104" s="155">
        <v>6.8165317388729191E-2</v>
      </c>
      <c r="P104" s="155">
        <v>8.5759928196829815E-2</v>
      </c>
      <c r="Q104" s="155">
        <v>0.10259022214392277</v>
      </c>
      <c r="R104" s="155">
        <v>0.1180639070254354</v>
      </c>
      <c r="S104" s="155">
        <v>0.13155164051038754</v>
      </c>
      <c r="T104" s="155">
        <v>0.14240589310884061</v>
      </c>
      <c r="U104" s="155">
        <v>0.14998412714616077</v>
      </c>
      <c r="V104" s="155">
        <v>0.15367616664303063</v>
      </c>
      <c r="W104" s="155">
        <v>0.15367616664303063</v>
      </c>
      <c r="X104" s="155">
        <v>0.15367616664303063</v>
      </c>
      <c r="AB104" s="12">
        <v>98</v>
      </c>
      <c r="AC104" s="18" t="s">
        <v>202</v>
      </c>
      <c r="AD104" s="51"/>
    </row>
    <row r="105" spans="6:30" x14ac:dyDescent="0.2">
      <c r="G105" s="12"/>
      <c r="I105" s="19" t="s">
        <v>254</v>
      </c>
      <c r="J105" s="160"/>
      <c r="K105" s="36"/>
      <c r="L105" s="36"/>
      <c r="M105" s="36"/>
      <c r="N105" s="36"/>
      <c r="O105" s="36"/>
      <c r="P105" s="36"/>
      <c r="Q105" s="36"/>
      <c r="R105" s="36"/>
      <c r="S105" s="36"/>
      <c r="T105" s="36"/>
      <c r="U105" s="36"/>
      <c r="V105" s="36"/>
      <c r="W105" s="36"/>
      <c r="X105" s="36"/>
      <c r="AB105" s="12">
        <v>99</v>
      </c>
      <c r="AC105" s="18"/>
      <c r="AD105" s="51"/>
    </row>
    <row r="106" spans="6:30" x14ac:dyDescent="0.2">
      <c r="G106" s="12"/>
      <c r="J106" s="160" t="s">
        <v>255</v>
      </c>
      <c r="K106" s="155" cm="1">
        <f t="array" ref="K106:X106">forecast_wind.nacelle.costs_CA*_xlfn.IFS(selected.location="Canada",derate.CA,selected.location="Alberta",derate.AB,selected.location="Ontario",derate.ON)</f>
        <v>2.0571300586378989</v>
      </c>
      <c r="L106" s="155">
        <v>2.0675749823324043</v>
      </c>
      <c r="M106" s="155">
        <v>2.0750265132887384</v>
      </c>
      <c r="N106" s="155">
        <v>2.0793651367801624</v>
      </c>
      <c r="O106" s="155">
        <v>2.0804698252352969</v>
      </c>
      <c r="P106" s="155">
        <v>2.0782180382381181</v>
      </c>
      <c r="Q106" s="155">
        <v>2.0724857225279627</v>
      </c>
      <c r="R106" s="155">
        <v>2.0631473119995238</v>
      </c>
      <c r="S106" s="155">
        <v>2.0500757277028523</v>
      </c>
      <c r="T106" s="155">
        <v>2.0331423778433559</v>
      </c>
      <c r="U106" s="155">
        <v>2.0122171577818024</v>
      </c>
      <c r="V106" s="155">
        <v>1.9871684500343145</v>
      </c>
      <c r="W106" s="155">
        <v>1.9578631242723754</v>
      </c>
      <c r="X106" s="155">
        <v>1.9241665373228238</v>
      </c>
      <c r="AB106" s="12">
        <v>100</v>
      </c>
      <c r="AC106" s="18" t="s">
        <v>202</v>
      </c>
      <c r="AD106" s="51"/>
    </row>
    <row r="107" spans="6:30" x14ac:dyDescent="0.2">
      <c r="G107" s="12"/>
      <c r="I107" s="19" t="s">
        <v>256</v>
      </c>
      <c r="J107" s="160"/>
      <c r="K107" s="195"/>
      <c r="L107" s="195"/>
      <c r="M107" s="195"/>
      <c r="N107" s="195"/>
      <c r="O107" s="195"/>
      <c r="P107" s="195"/>
      <c r="Q107" s="195"/>
      <c r="R107" s="195"/>
      <c r="S107" s="195"/>
      <c r="T107" s="195"/>
      <c r="U107" s="195"/>
      <c r="V107" s="195"/>
      <c r="W107" s="195"/>
      <c r="X107" s="195"/>
      <c r="AB107" s="12">
        <v>101</v>
      </c>
      <c r="AC107" s="18"/>
      <c r="AD107" s="51"/>
    </row>
    <row r="108" spans="6:30" x14ac:dyDescent="0.2">
      <c r="G108" s="12"/>
      <c r="J108" s="160" t="s">
        <v>257</v>
      </c>
      <c r="K108" s="155" cm="1">
        <f t="array" ref="K108:X108">forecast_wind.tower.costs_CA*_xlfn.IFS(selected.location="Canada",derate.CA,selected.location="Alberta",derate.AB,selected.location="Ontario",derate.ON)</f>
        <v>0.6957463986880309</v>
      </c>
      <c r="L108" s="155">
        <v>0.71036269692254772</v>
      </c>
      <c r="M108" s="155">
        <v>0.72589495279162908</v>
      </c>
      <c r="N108" s="155">
        <v>0.74234316629527475</v>
      </c>
      <c r="O108" s="155">
        <v>0.75970733743348484</v>
      </c>
      <c r="P108" s="155">
        <v>0.77798746620625947</v>
      </c>
      <c r="Q108" s="155">
        <v>0.79718355261359863</v>
      </c>
      <c r="R108" s="155">
        <v>0.81729559665550222</v>
      </c>
      <c r="S108" s="155">
        <v>0.83832359833197012</v>
      </c>
      <c r="T108" s="155">
        <v>0.86026755764300256</v>
      </c>
      <c r="U108" s="155">
        <v>0.88312747458859941</v>
      </c>
      <c r="V108" s="155">
        <v>0.9069033491687607</v>
      </c>
      <c r="W108" s="155">
        <v>0.93159518138348651</v>
      </c>
      <c r="X108" s="155">
        <v>0.95720297123277676</v>
      </c>
      <c r="AB108" s="12">
        <v>102</v>
      </c>
      <c r="AC108" s="18" t="s">
        <v>202</v>
      </c>
      <c r="AD108" s="51"/>
    </row>
    <row r="109" spans="6:30" x14ac:dyDescent="0.2">
      <c r="F109" s="154"/>
      <c r="G109" s="12"/>
      <c r="J109" s="160" t="s">
        <v>258</v>
      </c>
      <c r="K109" s="273" cm="1">
        <f t="array" ref="K109:X109">forecast_wind.hub.height_CA</f>
        <v>94.492199999999997</v>
      </c>
      <c r="L109" s="273">
        <v>96.4773</v>
      </c>
      <c r="M109" s="273">
        <v>98.586800000000011</v>
      </c>
      <c r="N109" s="273">
        <v>100.8207</v>
      </c>
      <c r="O109" s="273">
        <v>103.179</v>
      </c>
      <c r="P109" s="273">
        <v>105.6617</v>
      </c>
      <c r="Q109" s="273">
        <v>108.2688</v>
      </c>
      <c r="R109" s="273">
        <v>111.00030000000001</v>
      </c>
      <c r="S109" s="273">
        <v>113.8562</v>
      </c>
      <c r="T109" s="273">
        <v>116.8365</v>
      </c>
      <c r="U109" s="273">
        <v>119.94120000000001</v>
      </c>
      <c r="V109" s="273">
        <v>123.1703</v>
      </c>
      <c r="W109" s="273">
        <v>126.52380000000001</v>
      </c>
      <c r="X109" s="273">
        <v>130.0017</v>
      </c>
      <c r="AB109" s="12">
        <v>103</v>
      </c>
      <c r="AC109" s="18" t="s">
        <v>202</v>
      </c>
      <c r="AD109" s="51"/>
    </row>
    <row r="110" spans="6:30" x14ac:dyDescent="0.2">
      <c r="F110" s="154"/>
      <c r="G110" s="12"/>
      <c r="I110" s="19" t="s">
        <v>259</v>
      </c>
      <c r="K110" s="181"/>
      <c r="L110" s="181"/>
      <c r="M110" s="181"/>
      <c r="N110" s="181"/>
      <c r="O110" s="181"/>
      <c r="P110" s="181"/>
      <c r="Q110" s="181"/>
      <c r="R110" s="181"/>
      <c r="S110" s="181"/>
      <c r="T110" s="181"/>
      <c r="U110" s="181"/>
      <c r="V110" s="181"/>
      <c r="W110" s="181"/>
      <c r="X110" s="181"/>
      <c r="AB110" s="12">
        <v>104</v>
      </c>
      <c r="AC110" s="18"/>
      <c r="AD110" s="51"/>
    </row>
    <row r="111" spans="6:30" x14ac:dyDescent="0.2">
      <c r="F111" s="154"/>
      <c r="G111" s="12"/>
      <c r="J111" s="160" t="s">
        <v>260</v>
      </c>
      <c r="K111" s="158" cm="1">
        <f t="array" ref="K111:X116">_xlfn.IFS(selected.location="Canada",forecast_wind.BOP.costs_CA,selected.location="Alberta",forecast_wind.BOP.costs_AB,selected.location="Ontario",forecast_wind.BOP.costs_ON)*_xlfn.IFS(selected.location="Canada",derate.CA,selected.location="Alberta",derate.AB,selected.location="Ontario",derate.ON)</f>
        <v>7.6795000656284765E-2</v>
      </c>
      <c r="L111" s="158">
        <v>7.8104355417474416E-2</v>
      </c>
      <c r="M111" s="158">
        <v>7.943989727388788E-2</v>
      </c>
      <c r="N111" s="158">
        <v>8.0802149967429571E-2</v>
      </c>
      <c r="O111" s="158">
        <v>8.2191647714842136E-2</v>
      </c>
      <c r="P111" s="158">
        <v>8.3608935417202934E-2</v>
      </c>
      <c r="Q111" s="158">
        <v>8.5054568873610958E-2</v>
      </c>
      <c r="R111" s="158">
        <v>8.652911499914713E-2</v>
      </c>
      <c r="S111" s="158">
        <v>8.803315204719403E-2</v>
      </c>
      <c r="T111" s="158">
        <v>8.9567269836201877E-2</v>
      </c>
      <c r="U111" s="158">
        <v>9.1132069980989883E-2</v>
      </c>
      <c r="V111" s="158">
        <v>9.2728166128673628E-2</v>
      </c>
      <c r="W111" s="158">
        <v>9.4356184199311063E-2</v>
      </c>
      <c r="X111" s="158">
        <v>9.6016762631361247E-2</v>
      </c>
      <c r="AB111" s="12">
        <v>105</v>
      </c>
      <c r="AC111" s="18"/>
      <c r="AD111" s="51"/>
    </row>
    <row r="112" spans="6:30" x14ac:dyDescent="0.2">
      <c r="F112" s="154"/>
      <c r="G112" s="12"/>
      <c r="J112" s="160" t="s">
        <v>261</v>
      </c>
      <c r="K112" s="158">
        <v>4.5758075997523302E-2</v>
      </c>
      <c r="L112" s="158">
        <v>4.6558842327479963E-2</v>
      </c>
      <c r="M112" s="158">
        <v>4.7375623984035754E-2</v>
      </c>
      <c r="N112" s="158">
        <v>4.8208741273722662E-2</v>
      </c>
      <c r="O112" s="158">
        <v>4.9058520909203311E-2</v>
      </c>
      <c r="P112" s="158">
        <v>4.9925296137393563E-2</v>
      </c>
      <c r="Q112" s="158">
        <v>5.0809406870147629E-2</v>
      </c>
      <c r="R112" s="158">
        <v>5.1711199817556765E-2</v>
      </c>
      <c r="S112" s="158">
        <v>5.2631028623914097E-2</v>
      </c>
      <c r="T112" s="158">
        <v>5.3569254006398573E-2</v>
      </c>
      <c r="U112" s="158">
        <v>5.4526243896532732E-2</v>
      </c>
      <c r="V112" s="158">
        <v>5.5502373584469571E-2</v>
      </c>
      <c r="W112" s="158">
        <v>5.6498025866165161E-2</v>
      </c>
      <c r="X112" s="158">
        <v>5.7513591193494654E-2</v>
      </c>
      <c r="AB112" s="12">
        <v>106</v>
      </c>
      <c r="AC112" s="18" t="s">
        <v>202</v>
      </c>
      <c r="AD112" s="51"/>
    </row>
    <row r="113" spans="6:30" x14ac:dyDescent="0.2">
      <c r="F113" s="154"/>
      <c r="G113" s="12"/>
      <c r="J113" s="160" t="s">
        <v>262</v>
      </c>
      <c r="K113" s="158">
        <v>0.32725069860022749</v>
      </c>
      <c r="L113" s="158">
        <v>0.32855970139462842</v>
      </c>
      <c r="M113" s="158">
        <v>0.32989488424491736</v>
      </c>
      <c r="N113" s="158">
        <v>0.33125677075221205</v>
      </c>
      <c r="O113" s="158">
        <v>0.33264589498965264</v>
      </c>
      <c r="P113" s="158">
        <v>0.33406280171184211</v>
      </c>
      <c r="Q113" s="158">
        <v>0.33550804656847527</v>
      </c>
      <c r="R113" s="158">
        <v>0.33698219632224108</v>
      </c>
      <c r="S113" s="158">
        <v>0.33848582907108232</v>
      </c>
      <c r="T113" s="158">
        <v>0.3400195344749003</v>
      </c>
      <c r="U113" s="158">
        <v>0.34158391398679472</v>
      </c>
      <c r="V113" s="158">
        <v>0.34317958108892693</v>
      </c>
      <c r="W113" s="158">
        <v>0.34480716153310181</v>
      </c>
      <c r="X113" s="158">
        <v>0.34646729358616024</v>
      </c>
      <c r="AB113" s="12">
        <v>107</v>
      </c>
      <c r="AC113" s="18" t="s">
        <v>202</v>
      </c>
      <c r="AD113" s="51"/>
    </row>
    <row r="114" spans="6:30" x14ac:dyDescent="0.2">
      <c r="G114" s="12"/>
      <c r="J114" s="160" t="s">
        <v>263</v>
      </c>
      <c r="K114" s="158">
        <v>0.17056998102222878</v>
      </c>
      <c r="L114" s="158">
        <v>0.17056998102222878</v>
      </c>
      <c r="M114" s="158">
        <v>0.17056998102222878</v>
      </c>
      <c r="N114" s="158">
        <v>0.17056998102222878</v>
      </c>
      <c r="O114" s="158">
        <v>0.17056998102222878</v>
      </c>
      <c r="P114" s="158">
        <v>0.17056998102222878</v>
      </c>
      <c r="Q114" s="158">
        <v>0.17056998102222878</v>
      </c>
      <c r="R114" s="158">
        <v>0.17056998102222878</v>
      </c>
      <c r="S114" s="158">
        <v>0.17056998102222878</v>
      </c>
      <c r="T114" s="158">
        <v>0.17056998102222878</v>
      </c>
      <c r="U114" s="158">
        <v>0.17056998102222878</v>
      </c>
      <c r="V114" s="158">
        <v>0.17056998102222878</v>
      </c>
      <c r="W114" s="158">
        <v>0.17056998102222878</v>
      </c>
      <c r="X114" s="158">
        <v>0.17056998102222878</v>
      </c>
      <c r="AB114" s="12">
        <v>108</v>
      </c>
      <c r="AC114" s="18" t="s">
        <v>202</v>
      </c>
      <c r="AD114" s="51"/>
    </row>
    <row r="115" spans="6:30" x14ac:dyDescent="0.2">
      <c r="F115" s="154"/>
      <c r="G115" s="12"/>
      <c r="J115" s="160" t="s">
        <v>264</v>
      </c>
      <c r="K115" s="158">
        <v>0.17583405106273606</v>
      </c>
      <c r="L115" s="158">
        <v>0.17697697239464386</v>
      </c>
      <c r="M115" s="158">
        <v>0.17814275215318981</v>
      </c>
      <c r="N115" s="158">
        <v>0.17933184750690664</v>
      </c>
      <c r="O115" s="158">
        <v>0.18054472476769784</v>
      </c>
      <c r="P115" s="158">
        <v>0.18178185957370488</v>
      </c>
      <c r="Q115" s="158">
        <v>0.18304373707583202</v>
      </c>
      <c r="R115" s="158">
        <v>0.18433085212800174</v>
      </c>
      <c r="S115" s="158">
        <v>0.18564370948121484</v>
      </c>
      <c r="T115" s="158">
        <v>0.18698282398149219</v>
      </c>
      <c r="U115" s="158">
        <v>0.18834872077177511</v>
      </c>
      <c r="V115" s="158">
        <v>0.18974193549786364</v>
      </c>
      <c r="W115" s="158">
        <v>0.19116301451847401</v>
      </c>
      <c r="X115" s="158">
        <v>0.19261251511949654</v>
      </c>
      <c r="AB115" s="12">
        <v>109</v>
      </c>
      <c r="AC115" s="18" t="s">
        <v>202</v>
      </c>
      <c r="AD115" s="51"/>
    </row>
    <row r="116" spans="6:30" x14ac:dyDescent="0.2">
      <c r="F116" s="154"/>
      <c r="G116" s="12"/>
      <c r="J116" s="160" t="s">
        <v>265</v>
      </c>
      <c r="K116" s="158">
        <v>0.55861668784779916</v>
      </c>
      <c r="L116" s="158">
        <v>0.55861668784779916</v>
      </c>
      <c r="M116" s="158">
        <v>0.55861668784779916</v>
      </c>
      <c r="N116" s="158">
        <v>0.55861668784779916</v>
      </c>
      <c r="O116" s="158">
        <v>0.55861668784779916</v>
      </c>
      <c r="P116" s="158">
        <v>0.55861668784779916</v>
      </c>
      <c r="Q116" s="158">
        <v>0.55861668784779916</v>
      </c>
      <c r="R116" s="158">
        <v>0.55861668784779916</v>
      </c>
      <c r="S116" s="158">
        <v>0.55861668784779916</v>
      </c>
      <c r="T116" s="158">
        <v>0.55861668784779916</v>
      </c>
      <c r="U116" s="158">
        <v>0.55861668784779916</v>
      </c>
      <c r="V116" s="158">
        <v>0.55861668784779916</v>
      </c>
      <c r="W116" s="158">
        <v>0.55861668784779916</v>
      </c>
      <c r="X116" s="158">
        <v>0.55861668784779916</v>
      </c>
      <c r="AB116" s="12">
        <v>110</v>
      </c>
      <c r="AC116" s="18" t="s">
        <v>202</v>
      </c>
      <c r="AD116" s="51"/>
    </row>
    <row r="117" spans="6:30" x14ac:dyDescent="0.2">
      <c r="G117" s="12"/>
      <c r="H117" s="19" t="s">
        <v>92</v>
      </c>
      <c r="J117" s="160"/>
      <c r="K117" s="158"/>
      <c r="L117" s="158"/>
      <c r="M117" s="158"/>
      <c r="N117" s="158"/>
      <c r="O117" s="158"/>
      <c r="P117" s="158"/>
      <c r="Q117" s="158"/>
      <c r="R117" s="158"/>
      <c r="S117" s="158"/>
      <c r="T117" s="158"/>
      <c r="U117" s="158"/>
      <c r="V117" s="158"/>
      <c r="W117" s="158"/>
      <c r="X117" s="158"/>
      <c r="AB117" s="12">
        <v>111</v>
      </c>
      <c r="AC117" s="18"/>
      <c r="AD117" s="51"/>
    </row>
    <row r="118" spans="6:30" x14ac:dyDescent="0.2">
      <c r="G118" s="12"/>
      <c r="J118" s="160" t="s">
        <v>266</v>
      </c>
      <c r="K118" s="158" cm="1">
        <f t="array" ref="K118:X120">Inputs.Wind!R234:AE236*_xlfn.IFS(selected.location="Canada",derate.CA,selected.location="Alberta",derate.AB,selected.location="Ontario",derate.ON)</f>
        <v>0.10805556933731733</v>
      </c>
      <c r="L118" s="158">
        <v>0.10701829733964933</v>
      </c>
      <c r="M118" s="158">
        <v>0.10598102534198132</v>
      </c>
      <c r="N118" s="158">
        <v>0.10494375334431329</v>
      </c>
      <c r="O118" s="158">
        <v>0.10390648134664532</v>
      </c>
      <c r="P118" s="158">
        <v>0.10286920934897728</v>
      </c>
      <c r="Q118" s="158">
        <v>0.10183193735130927</v>
      </c>
      <c r="R118" s="158">
        <v>0.10079466535364125</v>
      </c>
      <c r="S118" s="158">
        <v>9.9757393355973223E-2</v>
      </c>
      <c r="T118" s="158">
        <v>9.9009212905803431E-2</v>
      </c>
      <c r="U118" s="158">
        <v>9.8261032455633626E-2</v>
      </c>
      <c r="V118" s="158">
        <v>9.7512852005463835E-2</v>
      </c>
      <c r="W118" s="158">
        <v>9.676467155529403E-2</v>
      </c>
      <c r="X118" s="158">
        <v>9.6016491105124224E-2</v>
      </c>
      <c r="AB118" s="12">
        <v>112</v>
      </c>
      <c r="AC118" s="18" t="s">
        <v>202</v>
      </c>
      <c r="AD118" s="51"/>
    </row>
    <row r="119" spans="6:30" x14ac:dyDescent="0.2">
      <c r="G119" s="12"/>
      <c r="J119" s="160" t="s">
        <v>267</v>
      </c>
      <c r="K119" s="158">
        <v>3.1508066104235836E-2</v>
      </c>
      <c r="L119" s="158">
        <v>3.1205606593161767E-2</v>
      </c>
      <c r="M119" s="158">
        <v>3.0903147082087679E-2</v>
      </c>
      <c r="N119" s="158">
        <v>3.0600687571013599E-2</v>
      </c>
      <c r="O119" s="158">
        <v>3.0298228059939522E-2</v>
      </c>
      <c r="P119" s="158">
        <v>2.9995768548865438E-2</v>
      </c>
      <c r="Q119" s="158">
        <v>2.9693309037791354E-2</v>
      </c>
      <c r="R119" s="158">
        <v>2.9390849526717271E-2</v>
      </c>
      <c r="S119" s="158">
        <v>2.908839001564319E-2</v>
      </c>
      <c r="T119" s="158">
        <v>2.8870227090525863E-2</v>
      </c>
      <c r="U119" s="158">
        <v>2.8652064165408546E-2</v>
      </c>
      <c r="V119" s="158">
        <v>2.8433901240291222E-2</v>
      </c>
      <c r="W119" s="158">
        <v>2.8215738315173895E-2</v>
      </c>
      <c r="X119" s="158">
        <v>2.7997575390056571E-2</v>
      </c>
      <c r="AB119" s="12">
        <v>113</v>
      </c>
      <c r="AC119" s="18" t="s">
        <v>202</v>
      </c>
      <c r="AD119" s="51"/>
    </row>
    <row r="120" spans="6:30" x14ac:dyDescent="0.2">
      <c r="G120" s="12"/>
      <c r="J120" s="160" t="s">
        <v>268</v>
      </c>
      <c r="K120" s="158">
        <v>6.1550640761763031E-2</v>
      </c>
      <c r="L120" s="158">
        <v>6.0959789623850888E-2</v>
      </c>
      <c r="M120" s="158">
        <v>6.0368938485938717E-2</v>
      </c>
      <c r="N120" s="158">
        <v>5.9778087348026553E-2</v>
      </c>
      <c r="O120" s="158">
        <v>5.9187236210114409E-2</v>
      </c>
      <c r="P120" s="158">
        <v>5.8596385072202238E-2</v>
      </c>
      <c r="Q120" s="158">
        <v>5.8005533934290074E-2</v>
      </c>
      <c r="R120" s="158">
        <v>5.7414682796377917E-2</v>
      </c>
      <c r="S120" s="158">
        <v>5.6823831658465752E-2</v>
      </c>
      <c r="T120" s="158">
        <v>5.6397652921027275E-2</v>
      </c>
      <c r="U120" s="158">
        <v>5.5971474183588776E-2</v>
      </c>
      <c r="V120" s="158">
        <v>5.5545295446150278E-2</v>
      </c>
      <c r="W120" s="158">
        <v>5.5119116708711793E-2</v>
      </c>
      <c r="X120" s="158">
        <v>5.4692937971273295E-2</v>
      </c>
      <c r="AB120" s="12">
        <v>114</v>
      </c>
      <c r="AC120" s="18" t="s">
        <v>202</v>
      </c>
      <c r="AD120" s="51"/>
    </row>
    <row r="121" spans="6:30" x14ac:dyDescent="0.2">
      <c r="G121" s="12"/>
      <c r="J121" s="160" t="s">
        <v>269</v>
      </c>
      <c r="K121" s="159" cm="1">
        <f t="array" ref="K121">_xlfn.IFS(selected.location="Canada",land.lease.CA,selected.location="Alberta",land.lease.AB,selected.location="Ontario",land.lease.ON)</f>
        <v>15000</v>
      </c>
      <c r="L121" s="159" cm="1">
        <f t="array" ref="L121">_xlfn.IFS(selected.location="Canada",land.lease.CA,selected.location="Alberta",land.lease.AB,selected.location="Ontario",land.lease.ON)</f>
        <v>15000</v>
      </c>
      <c r="M121" s="159" cm="1">
        <f t="array" ref="M121">_xlfn.IFS(selected.location="Canada",land.lease.CA,selected.location="Alberta",land.lease.AB,selected.location="Ontario",land.lease.ON)</f>
        <v>15000</v>
      </c>
      <c r="N121" s="159" cm="1">
        <f t="array" ref="N121">_xlfn.IFS(selected.location="Canada",land.lease.CA,selected.location="Alberta",land.lease.AB,selected.location="Ontario",land.lease.ON)</f>
        <v>15000</v>
      </c>
      <c r="O121" s="159" cm="1">
        <f t="array" ref="O121">_xlfn.IFS(selected.location="Canada",land.lease.CA,selected.location="Alberta",land.lease.AB,selected.location="Ontario",land.lease.ON)</f>
        <v>15000</v>
      </c>
      <c r="P121" s="159" cm="1">
        <f t="array" ref="P121">_xlfn.IFS(selected.location="Canada",land.lease.CA,selected.location="Alberta",land.lease.AB,selected.location="Ontario",land.lease.ON)</f>
        <v>15000</v>
      </c>
      <c r="Q121" s="159" cm="1">
        <f t="array" ref="Q121">_xlfn.IFS(selected.location="Canada",land.lease.CA,selected.location="Alberta",land.lease.AB,selected.location="Ontario",land.lease.ON)</f>
        <v>15000</v>
      </c>
      <c r="R121" s="159" cm="1">
        <f t="array" ref="R121">_xlfn.IFS(selected.location="Canada",land.lease.CA,selected.location="Alberta",land.lease.AB,selected.location="Ontario",land.lease.ON)</f>
        <v>15000</v>
      </c>
      <c r="S121" s="159" cm="1">
        <f t="array" ref="S121">_xlfn.IFS(selected.location="Canada",land.lease.CA,selected.location="Alberta",land.lease.AB,selected.location="Ontario",land.lease.ON)</f>
        <v>15000</v>
      </c>
      <c r="T121" s="159" cm="1">
        <f t="array" ref="T121">_xlfn.IFS(selected.location="Canada",land.lease.CA,selected.location="Alberta",land.lease.AB,selected.location="Ontario",land.lease.ON)</f>
        <v>15000</v>
      </c>
      <c r="U121" s="159" cm="1">
        <f t="array" ref="U121">_xlfn.IFS(selected.location="Canada",land.lease.CA,selected.location="Alberta",land.lease.AB,selected.location="Ontario",land.lease.ON)</f>
        <v>15000</v>
      </c>
      <c r="V121" s="159" cm="1">
        <f t="array" ref="V121">_xlfn.IFS(selected.location="Canada",land.lease.CA,selected.location="Alberta",land.lease.AB,selected.location="Ontario",land.lease.ON)</f>
        <v>15000</v>
      </c>
      <c r="W121" s="159" cm="1">
        <f t="array" ref="W121">_xlfn.IFS(selected.location="Canada",land.lease.CA,selected.location="Alberta",land.lease.AB,selected.location="Ontario",land.lease.ON)</f>
        <v>15000</v>
      </c>
      <c r="X121" s="159" cm="1">
        <f t="array" ref="X121">_xlfn.IFS(selected.location="Canada",land.lease.CA,selected.location="Alberta",land.lease.AB,selected.location="Ontario",land.lease.ON)</f>
        <v>15000</v>
      </c>
      <c r="AB121" s="12">
        <v>115</v>
      </c>
      <c r="AC121" s="18" t="s">
        <v>202</v>
      </c>
      <c r="AD121" s="51"/>
    </row>
    <row r="122" spans="6:30" x14ac:dyDescent="0.2">
      <c r="G122" s="12"/>
      <c r="J122" s="160" t="s">
        <v>270</v>
      </c>
      <c r="K122" s="158" cm="1">
        <f t="array" ref="K122">_xlfn.IFS(selected.location="Canada",wind.property.tax_CA,selected.location="Alberta",wind.property.tax_AB,selected.location="Ontario",wind.property.tax_ON)</f>
        <v>1.2</v>
      </c>
      <c r="L122" s="158" cm="1">
        <f t="array" ref="L122">_xlfn.IFS(selected.location="Canada",wind.property.tax_CA,selected.location="Alberta",wind.property.tax_AB,selected.location="Ontario",wind.property.tax_ON)</f>
        <v>1.2</v>
      </c>
      <c r="M122" s="158" cm="1">
        <f t="array" ref="M122">_xlfn.IFS(selected.location="Canada",wind.property.tax_CA,selected.location="Alberta",wind.property.tax_AB,selected.location="Ontario",wind.property.tax_ON)</f>
        <v>1.2</v>
      </c>
      <c r="N122" s="158" cm="1">
        <f t="array" ref="N122">_xlfn.IFS(selected.location="Canada",wind.property.tax_CA,selected.location="Alberta",wind.property.tax_AB,selected.location="Ontario",wind.property.tax_ON)</f>
        <v>1.2</v>
      </c>
      <c r="O122" s="158" cm="1">
        <f t="array" ref="O122">_xlfn.IFS(selected.location="Canada",wind.property.tax_CA,selected.location="Alberta",wind.property.tax_AB,selected.location="Ontario",wind.property.tax_ON)</f>
        <v>1.2</v>
      </c>
      <c r="P122" s="158" cm="1">
        <f t="array" ref="P122">_xlfn.IFS(selected.location="Canada",wind.property.tax_CA,selected.location="Alberta",wind.property.tax_AB,selected.location="Ontario",wind.property.tax_ON)</f>
        <v>1.2</v>
      </c>
      <c r="Q122" s="158" cm="1">
        <f t="array" ref="Q122">_xlfn.IFS(selected.location="Canada",wind.property.tax_CA,selected.location="Alberta",wind.property.tax_AB,selected.location="Ontario",wind.property.tax_ON)</f>
        <v>1.2</v>
      </c>
      <c r="R122" s="158" cm="1">
        <f t="array" ref="R122">_xlfn.IFS(selected.location="Canada",wind.property.tax_CA,selected.location="Alberta",wind.property.tax_AB,selected.location="Ontario",wind.property.tax_ON)</f>
        <v>1.2</v>
      </c>
      <c r="S122" s="158" cm="1">
        <f t="array" ref="S122">_xlfn.IFS(selected.location="Canada",wind.property.tax_CA,selected.location="Alberta",wind.property.tax_AB,selected.location="Ontario",wind.property.tax_ON)</f>
        <v>1.2</v>
      </c>
      <c r="T122" s="158" cm="1">
        <f t="array" ref="T122">_xlfn.IFS(selected.location="Canada",wind.property.tax_CA,selected.location="Alberta",wind.property.tax_AB,selected.location="Ontario",wind.property.tax_ON)</f>
        <v>1.2</v>
      </c>
      <c r="U122" s="158" cm="1">
        <f t="array" ref="U122">_xlfn.IFS(selected.location="Canada",wind.property.tax_CA,selected.location="Alberta",wind.property.tax_AB,selected.location="Ontario",wind.property.tax_ON)</f>
        <v>1.2</v>
      </c>
      <c r="V122" s="158" cm="1">
        <f t="array" ref="V122">_xlfn.IFS(selected.location="Canada",wind.property.tax_CA,selected.location="Alberta",wind.property.tax_AB,selected.location="Ontario",wind.property.tax_ON)</f>
        <v>1.2</v>
      </c>
      <c r="W122" s="158" cm="1">
        <f t="array" ref="W122">_xlfn.IFS(selected.location="Canada",wind.property.tax_CA,selected.location="Alberta",wind.property.tax_AB,selected.location="Ontario",wind.property.tax_ON)</f>
        <v>1.2</v>
      </c>
      <c r="X122" s="158" cm="1">
        <f t="array" ref="X122">_xlfn.IFS(selected.location="Canada",wind.property.tax_CA,selected.location="Alberta",wind.property.tax_AB,selected.location="Ontario",wind.property.tax_ON)</f>
        <v>1.2</v>
      </c>
      <c r="AB122" s="12">
        <v>116</v>
      </c>
      <c r="AC122" s="18" t="s">
        <v>202</v>
      </c>
      <c r="AD122" s="51"/>
    </row>
    <row r="123" spans="6:30" x14ac:dyDescent="0.2">
      <c r="G123" s="12"/>
      <c r="J123" s="160" t="s">
        <v>271</v>
      </c>
      <c r="K123" s="158">
        <f t="shared" ref="K123:X123" si="22">wind.admin.costs</f>
        <v>1.27</v>
      </c>
      <c r="L123" s="158">
        <f t="shared" si="22"/>
        <v>1.27</v>
      </c>
      <c r="M123" s="158">
        <f t="shared" si="22"/>
        <v>1.27</v>
      </c>
      <c r="N123" s="158">
        <f t="shared" si="22"/>
        <v>1.27</v>
      </c>
      <c r="O123" s="158">
        <f t="shared" si="22"/>
        <v>1.27</v>
      </c>
      <c r="P123" s="158">
        <f t="shared" si="22"/>
        <v>1.27</v>
      </c>
      <c r="Q123" s="158">
        <f t="shared" si="22"/>
        <v>1.27</v>
      </c>
      <c r="R123" s="158">
        <f t="shared" si="22"/>
        <v>1.27</v>
      </c>
      <c r="S123" s="158">
        <f t="shared" si="22"/>
        <v>1.27</v>
      </c>
      <c r="T123" s="158">
        <f t="shared" si="22"/>
        <v>1.27</v>
      </c>
      <c r="U123" s="158">
        <f t="shared" si="22"/>
        <v>1.27</v>
      </c>
      <c r="V123" s="158">
        <f t="shared" si="22"/>
        <v>1.27</v>
      </c>
      <c r="W123" s="158">
        <f t="shared" si="22"/>
        <v>1.27</v>
      </c>
      <c r="X123" s="158">
        <f t="shared" si="22"/>
        <v>1.27</v>
      </c>
      <c r="AB123" s="12">
        <v>117</v>
      </c>
      <c r="AC123" s="18" t="s">
        <v>202</v>
      </c>
      <c r="AD123" s="51"/>
    </row>
    <row r="124" spans="6:30" x14ac:dyDescent="0.2">
      <c r="G124" s="12"/>
      <c r="J124" s="160"/>
      <c r="AB124" s="12">
        <v>118</v>
      </c>
      <c r="AC124" s="18"/>
      <c r="AD124" s="51"/>
    </row>
    <row r="125" spans="6:30" x14ac:dyDescent="0.2">
      <c r="G125" s="12"/>
      <c r="H125" s="156" t="s">
        <v>186</v>
      </c>
      <c r="J125" s="211"/>
      <c r="AB125" s="12">
        <v>119</v>
      </c>
      <c r="AC125" s="18"/>
      <c r="AD125" s="51"/>
    </row>
    <row r="126" spans="6:30" x14ac:dyDescent="0.2">
      <c r="G126" s="12"/>
      <c r="I126" s="19" t="s">
        <v>82</v>
      </c>
      <c r="AB126" s="12">
        <v>120</v>
      </c>
      <c r="AC126" s="18"/>
      <c r="AD126" s="51"/>
    </row>
    <row r="127" spans="6:30" x14ac:dyDescent="0.2">
      <c r="G127" s="12"/>
      <c r="J127" s="160" t="s">
        <v>83</v>
      </c>
      <c r="K127" s="155" cm="1">
        <f t="array" ref="K127:X127">_xlfn.ANCHORARRAY(Solar_ES.Costs!K93)</f>
        <v>227</v>
      </c>
      <c r="L127" s="155">
        <v>205.38207749971247</v>
      </c>
      <c r="M127" s="155">
        <v>190.04391739019778</v>
      </c>
      <c r="N127" s="155">
        <v>178.14671612112414</v>
      </c>
      <c r="O127" s="155">
        <v>168.42599488991021</v>
      </c>
      <c r="P127" s="155">
        <v>160.20724219520653</v>
      </c>
      <c r="Q127" s="155">
        <v>153.08783478039555</v>
      </c>
      <c r="R127" s="155">
        <v>146.80807238962265</v>
      </c>
      <c r="S127" s="155">
        <v>141.19063351132189</v>
      </c>
      <c r="T127" s="155">
        <v>136.10904192848042</v>
      </c>
      <c r="U127" s="155">
        <v>131.46991228010796</v>
      </c>
      <c r="V127" s="155">
        <v>127.20232669358673</v>
      </c>
      <c r="W127" s="155">
        <v>123.25115958540427</v>
      </c>
      <c r="X127" s="155">
        <v>119.57271101103436</v>
      </c>
      <c r="AB127" s="12">
        <v>121</v>
      </c>
      <c r="AC127" s="18" t="s">
        <v>84</v>
      </c>
      <c r="AD127" s="51"/>
    </row>
    <row r="128" spans="6:30" x14ac:dyDescent="0.2">
      <c r="G128" s="12"/>
      <c r="J128" s="160" t="s">
        <v>85</v>
      </c>
      <c r="K128" s="155" cm="1">
        <f t="array" ref="K128:X128">_xlfn.ANCHORARRAY(Solar_ES.Costs!K94)</f>
        <v>92</v>
      </c>
      <c r="L128" s="155">
        <v>88.624872929158485</v>
      </c>
      <c r="M128" s="155">
        <v>86.230182162650451</v>
      </c>
      <c r="N128" s="155">
        <v>84.372715698425395</v>
      </c>
      <c r="O128" s="155">
        <v>82.85505509180895</v>
      </c>
      <c r="P128" s="155">
        <v>81.571891332290562</v>
      </c>
      <c r="Q128" s="155">
        <v>80.460364325300915</v>
      </c>
      <c r="R128" s="155">
        <v>79.479928020967421</v>
      </c>
      <c r="S128" s="155">
        <v>78.60289786107586</v>
      </c>
      <c r="T128" s="155">
        <v>77.809527577045088</v>
      </c>
      <c r="U128" s="155">
        <v>77.0852372544594</v>
      </c>
      <c r="V128" s="155">
        <v>76.418954745582369</v>
      </c>
      <c r="W128" s="155">
        <v>75.802073494941013</v>
      </c>
      <c r="X128" s="155">
        <v>75.227770790234359</v>
      </c>
      <c r="AB128" s="12">
        <v>122</v>
      </c>
      <c r="AC128" s="18" t="s">
        <v>84</v>
      </c>
      <c r="AD128" s="51"/>
    </row>
    <row r="129" spans="7:30" x14ac:dyDescent="0.2">
      <c r="G129" s="12"/>
      <c r="J129" s="160" t="s">
        <v>86</v>
      </c>
      <c r="K129" s="155" cm="1">
        <f t="array" ref="K129:X129">_xlfn.ANCHORARRAY(Solar_ES.Costs!K95)</f>
        <v>13.999999999999998</v>
      </c>
      <c r="L129" s="155">
        <v>13.372323788164451</v>
      </c>
      <c r="M129" s="155">
        <v>13.005156741645944</v>
      </c>
      <c r="N129" s="155">
        <v>12.7446475763289</v>
      </c>
      <c r="O129" s="155">
        <v>12.542580969246563</v>
      </c>
      <c r="P129" s="155">
        <v>12.377480529810395</v>
      </c>
      <c r="Q129" s="155">
        <v>12.237890097244996</v>
      </c>
      <c r="R129" s="155">
        <v>12.116971364493349</v>
      </c>
      <c r="S129" s="155">
        <v>12.010313483291887</v>
      </c>
      <c r="T129" s="155">
        <v>11.914904757411014</v>
      </c>
      <c r="U129" s="155">
        <v>11.828597066509616</v>
      </c>
      <c r="V129" s="155">
        <v>11.749804317974842</v>
      </c>
      <c r="W129" s="155">
        <v>11.677322015591386</v>
      </c>
      <c r="X129" s="155">
        <v>11.610213885409445</v>
      </c>
      <c r="AB129" s="12">
        <v>123</v>
      </c>
      <c r="AC129" s="18" t="s">
        <v>84</v>
      </c>
      <c r="AD129" s="51"/>
    </row>
    <row r="130" spans="7:30" x14ac:dyDescent="0.2">
      <c r="G130" s="12"/>
      <c r="J130" s="160" t="s">
        <v>87</v>
      </c>
      <c r="K130" s="155">
        <f>Solar_ES.Costs!K96</f>
        <v>32</v>
      </c>
      <c r="L130" s="155">
        <f>Solar_ES.Costs!L96</f>
        <v>30.310475738682708</v>
      </c>
      <c r="M130" s="155">
        <f>Solar_ES.Costs!M96</f>
        <v>29.322167401753482</v>
      </c>
      <c r="N130" s="155">
        <f>Solar_ES.Costs!N96</f>
        <v>28.620951477365416</v>
      </c>
      <c r="O130" s="155">
        <f>Solar_ES.Costs!O96</f>
        <v>28.077046150653562</v>
      </c>
      <c r="P130" s="155">
        <f>Solar_ES.Costs!P96</f>
        <v>27.632643140436191</v>
      </c>
      <c r="Q130" s="155">
        <f>Solar_ES.Costs!Q96</f>
        <v>27.256905749055161</v>
      </c>
      <c r="R130" s="155">
        <f>Solar_ES.Costs!R96</f>
        <v>26.931427216048125</v>
      </c>
      <c r="S130" s="155">
        <f>Solar_ES.Costs!S96</f>
        <v>26.644334803506961</v>
      </c>
      <c r="T130" s="155">
        <f>Solar_ES.Costs!T96</f>
        <v>26.387521889336266</v>
      </c>
      <c r="U130" s="155">
        <f>Solar_ES.Costs!U96</f>
        <v>26.155206349944134</v>
      </c>
      <c r="V130" s="155">
        <f>Solar_ES.Costs!V96</f>
        <v>25.943118879118895</v>
      </c>
      <c r="W130" s="155">
        <f>Solar_ES.Costs!W96</f>
        <v>25.748017318658505</v>
      </c>
      <c r="X130" s="155">
        <f>Solar_ES.Costs!X96</f>
        <v>25.567381487737872</v>
      </c>
      <c r="AB130" s="12">
        <v>124</v>
      </c>
      <c r="AC130" s="18" t="s">
        <v>84</v>
      </c>
      <c r="AD130" s="51"/>
    </row>
    <row r="131" spans="7:30" x14ac:dyDescent="0.2">
      <c r="G131" s="12"/>
      <c r="J131" s="160" t="s">
        <v>88</v>
      </c>
      <c r="K131" s="163" cm="1">
        <f t="array" ref="K131:X131">_xlfn.ANCHORARRAY(Solar_ES.Costs!K97)</f>
        <v>11.700000000000001</v>
      </c>
      <c r="L131" s="163">
        <v>11.700000000000001</v>
      </c>
      <c r="M131" s="163">
        <v>11.700000000000001</v>
      </c>
      <c r="N131" s="163">
        <v>11.700000000000001</v>
      </c>
      <c r="O131" s="163">
        <v>11.700000000000001</v>
      </c>
      <c r="P131" s="163">
        <v>11.700000000000001</v>
      </c>
      <c r="Q131" s="163">
        <v>11.700000000000001</v>
      </c>
      <c r="R131" s="163">
        <v>11.700000000000001</v>
      </c>
      <c r="S131" s="163">
        <v>11.700000000000001</v>
      </c>
      <c r="T131" s="163">
        <v>11.700000000000001</v>
      </c>
      <c r="U131" s="163">
        <v>11.700000000000001</v>
      </c>
      <c r="V131" s="163">
        <v>11.700000000000001</v>
      </c>
      <c r="W131" s="163">
        <v>11.700000000000001</v>
      </c>
      <c r="X131" s="163">
        <v>11.700000000000001</v>
      </c>
      <c r="AB131" s="12">
        <v>125</v>
      </c>
      <c r="AC131" s="18" t="s">
        <v>84</v>
      </c>
      <c r="AD131" s="51"/>
    </row>
    <row r="132" spans="7:30" x14ac:dyDescent="0.2">
      <c r="G132" s="12"/>
      <c r="J132" s="160" t="s">
        <v>89</v>
      </c>
      <c r="K132" s="273" cm="1">
        <f t="array" ref="K132:X132">95*K23:X23</f>
        <v>684000</v>
      </c>
      <c r="L132" s="273">
        <v>636471.29909365566</v>
      </c>
      <c r="M132" s="273">
        <v>595118.64406779653</v>
      </c>
      <c r="N132" s="273">
        <v>558811.67108753312</v>
      </c>
      <c r="O132" s="273">
        <v>526679.99999999988</v>
      </c>
      <c r="P132" s="273">
        <v>498042.55319148931</v>
      </c>
      <c r="Q132" s="273">
        <v>472358.74439461867</v>
      </c>
      <c r="R132" s="273">
        <v>449194.02985074616</v>
      </c>
      <c r="S132" s="273">
        <v>428195.12195121939</v>
      </c>
      <c r="T132" s="273">
        <v>409071.84466019407</v>
      </c>
      <c r="U132" s="273">
        <v>391583.64312267653</v>
      </c>
      <c r="V132" s="273">
        <v>375529.41176470579</v>
      </c>
      <c r="W132" s="273">
        <v>360739.72602739709</v>
      </c>
      <c r="X132" s="273">
        <v>334399.99999999994</v>
      </c>
      <c r="AB132" s="12">
        <v>126</v>
      </c>
      <c r="AC132" s="18" t="s">
        <v>84</v>
      </c>
      <c r="AD132" s="51"/>
    </row>
    <row r="133" spans="7:30" x14ac:dyDescent="0.2">
      <c r="G133" s="12"/>
      <c r="J133" s="160" t="s">
        <v>90</v>
      </c>
      <c r="K133" s="155" cm="1">
        <f t="array" ref="K133:X133">_xlfn.ANCHORARRAY(Solar_ES.Costs!K99)</f>
        <v>32.570122209000324</v>
      </c>
      <c r="L133" s="155">
        <v>33.223077378929403</v>
      </c>
      <c r="M133" s="155">
        <v>33.889122780795638</v>
      </c>
      <c r="N133" s="155">
        <v>34.568520843292539</v>
      </c>
      <c r="O133" s="155">
        <v>35.261539256198333</v>
      </c>
      <c r="P133" s="155">
        <v>35.968451075848478</v>
      </c>
      <c r="Q133" s="155">
        <v>36.689534832722636</v>
      </c>
      <c r="R133" s="155">
        <v>37.425074641188552</v>
      </c>
      <c r="S133" s="155">
        <v>38.175360311445978</v>
      </c>
      <c r="T133" s="155">
        <v>38.940687463714873</v>
      </c>
      <c r="U133" s="155">
        <v>39.72135764471281</v>
      </c>
      <c r="V133" s="155">
        <v>40.517678446467436</v>
      </c>
      <c r="W133" s="155">
        <v>41.329963627510892</v>
      </c>
      <c r="X133" s="155">
        <v>42.15853323650385</v>
      </c>
      <c r="AB133" s="12">
        <v>127</v>
      </c>
      <c r="AC133" s="18" t="s">
        <v>84</v>
      </c>
      <c r="AD133" s="51"/>
    </row>
    <row r="134" spans="7:30" x14ac:dyDescent="0.2">
      <c r="G134" s="12"/>
      <c r="J134" s="160" t="s">
        <v>91</v>
      </c>
      <c r="K134" s="179" cm="1">
        <f t="array" ref="K134:X134">_xlfn.ANCHORARRAY(Solar_ES.Costs!K100)</f>
        <v>0.13333333333333333</v>
      </c>
      <c r="L134" s="179">
        <v>0.14329004329004327</v>
      </c>
      <c r="M134" s="179">
        <v>0.15324675324675327</v>
      </c>
      <c r="N134" s="179">
        <v>0.16320346320346321</v>
      </c>
      <c r="O134" s="179">
        <v>0.17316017316017318</v>
      </c>
      <c r="P134" s="179">
        <v>0.18311688311688315</v>
      </c>
      <c r="Q134" s="179">
        <v>0.19307359307359312</v>
      </c>
      <c r="R134" s="179">
        <v>0.20303030303030306</v>
      </c>
      <c r="S134" s="179">
        <v>0.21298701298701306</v>
      </c>
      <c r="T134" s="179">
        <v>0.222943722943723</v>
      </c>
      <c r="U134" s="179">
        <v>0.23290043290043297</v>
      </c>
      <c r="V134" s="179">
        <v>0.24285714285714294</v>
      </c>
      <c r="W134" s="179">
        <v>0.25281385281385294</v>
      </c>
      <c r="X134" s="179">
        <v>0.27272727272727276</v>
      </c>
      <c r="AB134" s="12">
        <v>128</v>
      </c>
      <c r="AC134" s="18" t="s">
        <v>84</v>
      </c>
      <c r="AD134" s="51"/>
    </row>
    <row r="135" spans="7:30" x14ac:dyDescent="0.2">
      <c r="I135" s="19" t="s">
        <v>92</v>
      </c>
      <c r="J135" s="160"/>
      <c r="K135" s="32"/>
      <c r="L135" s="32"/>
      <c r="M135" s="32"/>
      <c r="N135" s="32"/>
      <c r="O135" s="32"/>
      <c r="P135" s="32"/>
      <c r="Q135" s="32"/>
      <c r="R135" s="32"/>
      <c r="S135" s="32"/>
      <c r="T135" s="32"/>
      <c r="U135" s="32"/>
      <c r="V135" s="32"/>
      <c r="W135" s="32"/>
      <c r="X135" s="32"/>
      <c r="AB135" s="12">
        <v>129</v>
      </c>
      <c r="AC135" s="18"/>
      <c r="AD135" s="51"/>
    </row>
    <row r="136" spans="7:30" x14ac:dyDescent="0.2">
      <c r="J136" s="160" t="s">
        <v>93</v>
      </c>
      <c r="K136" s="155" cm="1">
        <f t="array" ref="K136:X136">_xlfn.ANCHORARRAY(Solar_ES.Costs!K102)</f>
        <v>12</v>
      </c>
      <c r="L136" s="155">
        <v>10.483628082364021</v>
      </c>
      <c r="M136" s="155">
        <v>9.5966073734003441</v>
      </c>
      <c r="N136" s="155">
        <v>8.9672561647280435</v>
      </c>
      <c r="O136" s="155">
        <v>8.4790934421427977</v>
      </c>
      <c r="P136" s="155">
        <v>8.0802354557643685</v>
      </c>
      <c r="Q136" s="155">
        <v>7.7430058333547107</v>
      </c>
      <c r="R136" s="155">
        <v>7.4508842470920671</v>
      </c>
      <c r="S136" s="155">
        <v>7.19321474680069</v>
      </c>
      <c r="T136" s="155">
        <v>6.9627215245068195</v>
      </c>
      <c r="U136" s="155">
        <v>6.7542150425164271</v>
      </c>
      <c r="V136" s="155">
        <v>6.5638635381283894</v>
      </c>
      <c r="W136" s="155">
        <v>6.3887571285060547</v>
      </c>
      <c r="X136" s="155">
        <v>6.2266339157187325</v>
      </c>
      <c r="AB136" s="12">
        <v>130</v>
      </c>
      <c r="AC136" s="18" t="s">
        <v>84</v>
      </c>
      <c r="AD136" s="51"/>
    </row>
    <row r="137" spans="7:30" x14ac:dyDescent="0.2">
      <c r="J137" s="160" t="s">
        <v>94</v>
      </c>
      <c r="K137" s="158" cm="1">
        <f t="array" ref="K137:X137">_xlfn.ANCHORARRAY(Solar_ES.Costs!K103)</f>
        <v>13</v>
      </c>
      <c r="L137" s="158">
        <v>13</v>
      </c>
      <c r="M137" s="158">
        <v>13</v>
      </c>
      <c r="N137" s="158">
        <v>13</v>
      </c>
      <c r="O137" s="158">
        <v>13</v>
      </c>
      <c r="P137" s="158">
        <v>13</v>
      </c>
      <c r="Q137" s="158">
        <v>13</v>
      </c>
      <c r="R137" s="158">
        <v>13</v>
      </c>
      <c r="S137" s="158">
        <v>13</v>
      </c>
      <c r="T137" s="158">
        <v>13</v>
      </c>
      <c r="U137" s="158">
        <v>13</v>
      </c>
      <c r="V137" s="158">
        <v>13</v>
      </c>
      <c r="W137" s="158">
        <v>13</v>
      </c>
      <c r="X137" s="158">
        <v>13</v>
      </c>
      <c r="AB137" s="12">
        <v>131</v>
      </c>
      <c r="AC137" s="18" t="s">
        <v>84</v>
      </c>
      <c r="AD137" s="51"/>
    </row>
    <row r="138" spans="7:30" x14ac:dyDescent="0.2">
      <c r="J138" s="160" t="s">
        <v>95</v>
      </c>
      <c r="K138" s="158" cm="1">
        <f t="array" ref="K138:X138">_xlfn.ANCHORARRAY(Solar_ES.Costs!K104)</f>
        <v>1.27</v>
      </c>
      <c r="L138" s="158">
        <v>1.27</v>
      </c>
      <c r="M138" s="158">
        <v>1.27</v>
      </c>
      <c r="N138" s="158">
        <v>1.27</v>
      </c>
      <c r="O138" s="158">
        <v>1.27</v>
      </c>
      <c r="P138" s="158">
        <v>1.27</v>
      </c>
      <c r="Q138" s="158">
        <v>1.27</v>
      </c>
      <c r="R138" s="158">
        <v>1.27</v>
      </c>
      <c r="S138" s="158">
        <v>1.27</v>
      </c>
      <c r="T138" s="158">
        <v>1.27</v>
      </c>
      <c r="U138" s="158">
        <v>1.27</v>
      </c>
      <c r="V138" s="158">
        <v>1.27</v>
      </c>
      <c r="W138" s="158">
        <v>1.27</v>
      </c>
      <c r="X138" s="158">
        <v>1.27</v>
      </c>
      <c r="AB138" s="12">
        <v>132</v>
      </c>
      <c r="AC138" s="18" t="s">
        <v>84</v>
      </c>
      <c r="AD138" s="51"/>
    </row>
    <row r="139" spans="7:30" x14ac:dyDescent="0.2">
      <c r="AB139" s="12">
        <v>133</v>
      </c>
      <c r="AC139" s="18"/>
      <c r="AD139" s="51"/>
    </row>
    <row r="140" spans="7:30" x14ac:dyDescent="0.2">
      <c r="H140" s="19" t="s">
        <v>96</v>
      </c>
      <c r="J140" s="211"/>
      <c r="K140"/>
      <c r="L140"/>
      <c r="M140"/>
      <c r="N140"/>
      <c r="O140"/>
      <c r="P140"/>
      <c r="Q140"/>
      <c r="R140"/>
      <c r="S140"/>
      <c r="T140"/>
      <c r="U140"/>
      <c r="V140"/>
      <c r="W140"/>
      <c r="AB140" s="12">
        <v>134</v>
      </c>
      <c r="AC140" s="18"/>
      <c r="AD140" s="51"/>
    </row>
    <row r="141" spans="7:30" x14ac:dyDescent="0.2">
      <c r="I141" s="19" t="s">
        <v>44</v>
      </c>
      <c r="J141" s="160"/>
      <c r="K141"/>
      <c r="L141"/>
      <c r="M141"/>
      <c r="N141"/>
      <c r="O141"/>
      <c r="P141"/>
      <c r="Q141"/>
      <c r="R141"/>
      <c r="S141"/>
      <c r="T141"/>
      <c r="U141"/>
      <c r="V141"/>
      <c r="W141"/>
      <c r="AB141" s="12">
        <v>135</v>
      </c>
      <c r="AC141" s="18"/>
      <c r="AD141" s="51"/>
    </row>
    <row r="142" spans="7:30" x14ac:dyDescent="0.2">
      <c r="J142" s="160" t="s">
        <v>187</v>
      </c>
      <c r="K142" s="163">
        <f>K22</f>
        <v>960</v>
      </c>
      <c r="L142" s="163">
        <f t="shared" ref="L142:X142" si="23">L22</f>
        <v>960</v>
      </c>
      <c r="M142" s="163">
        <f t="shared" si="23"/>
        <v>960</v>
      </c>
      <c r="N142" s="163">
        <f t="shared" si="23"/>
        <v>960</v>
      </c>
      <c r="O142" s="163">
        <f t="shared" si="23"/>
        <v>960</v>
      </c>
      <c r="P142" s="163">
        <f t="shared" si="23"/>
        <v>960</v>
      </c>
      <c r="Q142" s="163">
        <f t="shared" si="23"/>
        <v>960</v>
      </c>
      <c r="R142" s="163">
        <f t="shared" si="23"/>
        <v>960</v>
      </c>
      <c r="S142" s="163">
        <f t="shared" si="23"/>
        <v>960</v>
      </c>
      <c r="T142" s="163">
        <f t="shared" si="23"/>
        <v>960</v>
      </c>
      <c r="U142" s="163">
        <f t="shared" si="23"/>
        <v>960</v>
      </c>
      <c r="V142" s="163">
        <f t="shared" si="23"/>
        <v>960</v>
      </c>
      <c r="W142" s="163">
        <f t="shared" si="23"/>
        <v>960</v>
      </c>
      <c r="X142" s="163">
        <f t="shared" si="23"/>
        <v>960</v>
      </c>
      <c r="AB142" s="12">
        <v>136</v>
      </c>
      <c r="AC142" s="18"/>
      <c r="AD142" s="51"/>
    </row>
    <row r="143" spans="7:30" x14ac:dyDescent="0.2">
      <c r="J143" s="160" t="s">
        <v>97</v>
      </c>
      <c r="K143" s="163" cm="1">
        <f t="array" ref="K143:X143">es.annual.cycles</f>
        <v>300</v>
      </c>
      <c r="L143" s="163">
        <v>300</v>
      </c>
      <c r="M143" s="163">
        <v>300</v>
      </c>
      <c r="N143" s="163">
        <v>300</v>
      </c>
      <c r="O143" s="163">
        <v>300</v>
      </c>
      <c r="P143" s="163">
        <v>300</v>
      </c>
      <c r="Q143" s="163">
        <v>300</v>
      </c>
      <c r="R143" s="163">
        <v>300</v>
      </c>
      <c r="S143" s="163">
        <v>300</v>
      </c>
      <c r="T143" s="163">
        <v>300</v>
      </c>
      <c r="U143" s="163">
        <v>300</v>
      </c>
      <c r="V143" s="163">
        <v>300</v>
      </c>
      <c r="W143" s="163">
        <v>300</v>
      </c>
      <c r="X143" s="163">
        <v>300</v>
      </c>
      <c r="AB143" s="12">
        <v>137</v>
      </c>
      <c r="AC143" s="18"/>
      <c r="AD143" s="51"/>
    </row>
    <row r="144" spans="7:30" x14ac:dyDescent="0.2">
      <c r="J144" s="160" t="s">
        <v>188</v>
      </c>
      <c r="K144" s="204" cm="1">
        <f t="array" ref="K144:X144">es.avg.lifetime.rated.capacity</f>
        <v>0.91</v>
      </c>
      <c r="L144" s="204">
        <v>0.91</v>
      </c>
      <c r="M144" s="204">
        <v>0.91</v>
      </c>
      <c r="N144" s="204">
        <v>0.91</v>
      </c>
      <c r="O144" s="204">
        <v>0.91</v>
      </c>
      <c r="P144" s="204">
        <v>0.91</v>
      </c>
      <c r="Q144" s="204">
        <v>0.91</v>
      </c>
      <c r="R144" s="204">
        <v>0.91</v>
      </c>
      <c r="S144" s="204">
        <v>0.91</v>
      </c>
      <c r="T144" s="204">
        <v>0.91</v>
      </c>
      <c r="U144" s="204">
        <v>0.91</v>
      </c>
      <c r="V144" s="204">
        <v>0.91</v>
      </c>
      <c r="W144" s="204">
        <v>0.91</v>
      </c>
      <c r="X144" s="204">
        <v>0.91</v>
      </c>
      <c r="AB144" s="12">
        <v>138</v>
      </c>
      <c r="AC144" s="18"/>
    </row>
    <row r="145" spans="2:34" x14ac:dyDescent="0.2">
      <c r="J145" s="160" t="s">
        <v>99</v>
      </c>
      <c r="K145" s="204" cm="1">
        <f t="array" ref="K145:X145">es.RTE</f>
        <v>0.8322222222222222</v>
      </c>
      <c r="L145" s="204">
        <v>0.83444444444444443</v>
      </c>
      <c r="M145" s="204">
        <v>0.83666666666666667</v>
      </c>
      <c r="N145" s="204">
        <v>0.83888888888888891</v>
      </c>
      <c r="O145" s="204">
        <v>0.84111111111111114</v>
      </c>
      <c r="P145" s="204">
        <v>0.84333333333333338</v>
      </c>
      <c r="Q145" s="204">
        <v>0.84555555555555562</v>
      </c>
      <c r="R145" s="204">
        <v>0.84777777777777785</v>
      </c>
      <c r="S145" s="204">
        <v>0.85</v>
      </c>
      <c r="T145" s="204">
        <v>0.85222222222222133</v>
      </c>
      <c r="U145" s="204">
        <v>0.8544444444444439</v>
      </c>
      <c r="V145" s="204">
        <v>0.85666666666666647</v>
      </c>
      <c r="W145" s="204">
        <v>0.85888888888888815</v>
      </c>
      <c r="X145" s="204">
        <v>0.86111111111111072</v>
      </c>
      <c r="AB145" s="12">
        <v>139</v>
      </c>
      <c r="AC145" s="18"/>
    </row>
    <row r="146" spans="2:34" x14ac:dyDescent="0.2">
      <c r="J146" s="160" t="s">
        <v>189</v>
      </c>
      <c r="K146" s="273" cm="1">
        <f t="array" ref="K146:X146">K142:X142*_xlfn.ANCHORARRAY(K143)*(1-_xlfn.ANCHORARRAY(K145))</f>
        <v>48320.000000000007</v>
      </c>
      <c r="L146" s="273">
        <v>47680</v>
      </c>
      <c r="M146" s="273">
        <v>47040</v>
      </c>
      <c r="N146" s="273">
        <v>46399.999999999993</v>
      </c>
      <c r="O146" s="273">
        <v>45759.999999999993</v>
      </c>
      <c r="P146" s="273">
        <v>45119.999999999985</v>
      </c>
      <c r="Q146" s="273">
        <v>44479.999999999985</v>
      </c>
      <c r="R146" s="273">
        <v>43839.999999999978</v>
      </c>
      <c r="S146" s="273">
        <v>43200.000000000007</v>
      </c>
      <c r="T146" s="273">
        <v>42560.000000000255</v>
      </c>
      <c r="U146" s="273">
        <v>41920.00000000016</v>
      </c>
      <c r="V146" s="273">
        <v>41280.000000000058</v>
      </c>
      <c r="W146" s="273">
        <v>40640.000000000211</v>
      </c>
      <c r="X146" s="273">
        <v>40000.000000000116</v>
      </c>
      <c r="AB146" s="12">
        <v>140</v>
      </c>
      <c r="AC146" s="18"/>
    </row>
    <row r="147" spans="2:34" x14ac:dyDescent="0.2">
      <c r="J147" s="160" t="s">
        <v>285</v>
      </c>
      <c r="K147" s="273" cm="1">
        <f t="array" ref="K147:X147">K16:X16*8760*K12:X12</f>
        <v>700800</v>
      </c>
      <c r="L147" s="273">
        <v>700800</v>
      </c>
      <c r="M147" s="273">
        <v>700800</v>
      </c>
      <c r="N147" s="273">
        <v>700800</v>
      </c>
      <c r="O147" s="273">
        <v>700800</v>
      </c>
      <c r="P147" s="273">
        <v>700800</v>
      </c>
      <c r="Q147" s="273">
        <v>700800</v>
      </c>
      <c r="R147" s="273">
        <v>700800</v>
      </c>
      <c r="S147" s="273">
        <v>700800</v>
      </c>
      <c r="T147" s="273">
        <v>700800</v>
      </c>
      <c r="U147" s="273">
        <v>700800</v>
      </c>
      <c r="V147" s="273">
        <v>700800</v>
      </c>
      <c r="W147" s="273">
        <v>700800</v>
      </c>
      <c r="X147" s="273">
        <v>700800</v>
      </c>
      <c r="AB147" s="12">
        <v>141</v>
      </c>
      <c r="AC147" s="18"/>
    </row>
    <row r="148" spans="2:34" x14ac:dyDescent="0.2">
      <c r="J148" s="160" t="s">
        <v>192</v>
      </c>
      <c r="K148" s="273" cm="1">
        <f t="array" ref="K148:X148">_xlfn.ANCHORARRAY(K147)-_xlfn.ANCHORARRAY(K146)</f>
        <v>652480</v>
      </c>
      <c r="L148" s="273">
        <v>653120</v>
      </c>
      <c r="M148" s="273">
        <v>653760</v>
      </c>
      <c r="N148" s="273">
        <v>654400</v>
      </c>
      <c r="O148" s="273">
        <v>655040</v>
      </c>
      <c r="P148" s="273">
        <v>655680</v>
      </c>
      <c r="Q148" s="273">
        <v>656320</v>
      </c>
      <c r="R148" s="273">
        <v>656960</v>
      </c>
      <c r="S148" s="273">
        <v>657600</v>
      </c>
      <c r="T148" s="273">
        <v>658239.99999999977</v>
      </c>
      <c r="U148" s="273">
        <v>658879.99999999988</v>
      </c>
      <c r="V148" s="273">
        <v>659520</v>
      </c>
      <c r="W148" s="273">
        <v>660159.99999999977</v>
      </c>
      <c r="X148" s="273">
        <v>660799.99999999988</v>
      </c>
      <c r="AB148" s="12">
        <v>142</v>
      </c>
      <c r="AC148" s="18"/>
    </row>
    <row r="149" spans="2:34" x14ac:dyDescent="0.2">
      <c r="J149" s="160" t="s">
        <v>193</v>
      </c>
      <c r="K149" s="275" cm="1">
        <f t="array" ref="K149:X149">_xlfn.ANCHORARRAY(K148)/K12:X12/8760</f>
        <v>0.3724200913242009</v>
      </c>
      <c r="L149" s="275">
        <v>0.37278538812785389</v>
      </c>
      <c r="M149" s="275">
        <v>0.37315068493150688</v>
      </c>
      <c r="N149" s="275">
        <v>0.37351598173515982</v>
      </c>
      <c r="O149" s="275">
        <v>0.37388127853881276</v>
      </c>
      <c r="P149" s="275">
        <v>0.37424657534246575</v>
      </c>
      <c r="Q149" s="275">
        <v>0.37461187214611869</v>
      </c>
      <c r="R149" s="275">
        <v>0.37497716894977173</v>
      </c>
      <c r="S149" s="275">
        <v>0.37534246575342467</v>
      </c>
      <c r="T149" s="275">
        <v>0.3757077625570775</v>
      </c>
      <c r="U149" s="275">
        <v>0.37607305936073054</v>
      </c>
      <c r="V149" s="275">
        <v>0.37643835616438354</v>
      </c>
      <c r="W149" s="275">
        <v>0.37680365296803642</v>
      </c>
      <c r="X149" s="275">
        <v>0.37716894977168947</v>
      </c>
      <c r="AB149" s="12">
        <v>143</v>
      </c>
      <c r="AC149" s="18"/>
    </row>
    <row r="150" spans="2:34" x14ac:dyDescent="0.2">
      <c r="J150" s="160"/>
      <c r="K150" s="273"/>
      <c r="L150" s="273"/>
      <c r="M150" s="273"/>
      <c r="N150" s="273"/>
      <c r="O150" s="273"/>
      <c r="P150" s="273"/>
      <c r="Q150" s="273"/>
      <c r="R150" s="273"/>
      <c r="S150" s="273"/>
      <c r="T150" s="273"/>
      <c r="U150" s="273"/>
      <c r="V150" s="273"/>
      <c r="W150" s="273"/>
      <c r="X150" s="273"/>
      <c r="AB150" s="12">
        <v>144</v>
      </c>
      <c r="AC150" s="18"/>
    </row>
    <row r="151" spans="2:34" x14ac:dyDescent="0.2">
      <c r="H151" s="19" t="s">
        <v>100</v>
      </c>
      <c r="J151" s="20"/>
      <c r="AB151" s="12">
        <v>145</v>
      </c>
      <c r="AC151" s="18"/>
    </row>
    <row r="152" spans="2:34" x14ac:dyDescent="0.2">
      <c r="J152" s="160" t="s">
        <v>101</v>
      </c>
      <c r="K152" s="204">
        <f t="shared" ref="K152:X152" si="24">((project.interest_rate*(1+project.interest_rate)^project.debt_period)/(((1+project.interest_rate)^project.debt_period)-1))</f>
        <v>0.17913501805901069</v>
      </c>
      <c r="L152" s="204">
        <f t="shared" si="24"/>
        <v>0.17913501805901069</v>
      </c>
      <c r="M152" s="204">
        <f t="shared" si="24"/>
        <v>0.17913501805901069</v>
      </c>
      <c r="N152" s="204">
        <f t="shared" si="24"/>
        <v>0.17913501805901069</v>
      </c>
      <c r="O152" s="204">
        <f t="shared" si="24"/>
        <v>0.17913501805901069</v>
      </c>
      <c r="P152" s="204">
        <f t="shared" si="24"/>
        <v>0.17913501805901069</v>
      </c>
      <c r="Q152" s="204">
        <f t="shared" si="24"/>
        <v>0.17913501805901069</v>
      </c>
      <c r="R152" s="204">
        <f t="shared" si="24"/>
        <v>0.17913501805901069</v>
      </c>
      <c r="S152" s="204">
        <f t="shared" si="24"/>
        <v>0.17913501805901069</v>
      </c>
      <c r="T152" s="204">
        <f t="shared" si="24"/>
        <v>0.17913501805901069</v>
      </c>
      <c r="U152" s="204">
        <f t="shared" si="24"/>
        <v>0.17913501805901069</v>
      </c>
      <c r="V152" s="204">
        <f t="shared" si="24"/>
        <v>0.17913501805901069</v>
      </c>
      <c r="W152" s="204">
        <f t="shared" si="24"/>
        <v>0.17913501805901069</v>
      </c>
      <c r="X152" s="204">
        <f t="shared" si="24"/>
        <v>0.17913501805901069</v>
      </c>
      <c r="AB152" s="12">
        <v>146</v>
      </c>
      <c r="AC152" s="18" t="s">
        <v>102</v>
      </c>
    </row>
    <row r="153" spans="2:34" x14ac:dyDescent="0.2">
      <c r="J153" s="160" t="s">
        <v>103</v>
      </c>
      <c r="K153" s="159">
        <f t="shared" ref="K153:X153" si="25">NPV(jurisdiction.discount_rate,_xlfn.MAKEARRAY(1,project.debt_period,_xlfn.LAMBDA(_xlpm.r,_xlpm.c,K$152*K$7*(1-project.downpayment))))+NPV(jurisdiction.discount_rate,_xlfn.MAKEARRAY(1,K15,_xlfn.LAMBDA(_xlpm.r,_xlpm.c,K$8)))+K$7*project.downpayment</f>
        <v>7388.9790570722125</v>
      </c>
      <c r="L153" s="159">
        <f t="shared" si="25"/>
        <v>7031.1851164505824</v>
      </c>
      <c r="M153" s="159">
        <f t="shared" si="25"/>
        <v>6700.8577786535943</v>
      </c>
      <c r="N153" s="159">
        <f t="shared" si="25"/>
        <v>6430.87478663209</v>
      </c>
      <c r="O153" s="159">
        <f t="shared" si="25"/>
        <v>6152.0262595294807</v>
      </c>
      <c r="P153" s="159">
        <f t="shared" si="25"/>
        <v>5991.0009714031112</v>
      </c>
      <c r="Q153" s="159">
        <f t="shared" si="25"/>
        <v>5835.0469520053593</v>
      </c>
      <c r="R153" s="159">
        <f t="shared" si="25"/>
        <v>5660.1109505265758</v>
      </c>
      <c r="S153" s="159">
        <f t="shared" si="25"/>
        <v>5507.1591721129007</v>
      </c>
      <c r="T153" s="159">
        <f t="shared" si="25"/>
        <v>5335.9404503180958</v>
      </c>
      <c r="U153" s="159">
        <f t="shared" si="25"/>
        <v>5242.903519185501</v>
      </c>
      <c r="V153" s="159">
        <f t="shared" si="25"/>
        <v>5067.3536398597607</v>
      </c>
      <c r="W153" s="159">
        <f t="shared" si="25"/>
        <v>4967.9944921739261</v>
      </c>
      <c r="X153" s="159">
        <f t="shared" si="25"/>
        <v>4819.4378074822762</v>
      </c>
      <c r="AB153" s="12">
        <v>147</v>
      </c>
      <c r="AC153" s="18" t="s">
        <v>104</v>
      </c>
    </row>
    <row r="154" spans="2:34" x14ac:dyDescent="0.2">
      <c r="J154" s="160" t="s">
        <v>105</v>
      </c>
      <c r="K154" s="273" cm="1">
        <f t="array" ref="K154">NPV(jurisdiction.discount_rate,_xlfn.MAKEARRAY(1,K$15,_xlfn.LAMBDA(_xlpm.r,_xlpm.c,(1^(_xlpm.c-1)))))*K$17*8760</f>
        <v>63944.479858510167</v>
      </c>
      <c r="L154" s="273" cm="1">
        <f t="array" ref="L154">NPV(jurisdiction.discount_rate,_xlfn.MAKEARRAY(1,L$15,_xlfn.LAMBDA(_xlpm.r,_xlpm.c,(1^(_xlpm.c-1)))))*L$17*8760</f>
        <v>65313.399292066475</v>
      </c>
      <c r="M154" s="273" cm="1">
        <f t="array" ref="M154">NPV(jurisdiction.discount_rate,_xlfn.MAKEARRAY(1,M$15,_xlfn.LAMBDA(_xlpm.r,_xlpm.c,(1^(_xlpm.c-1)))))*M$17*8760</f>
        <v>65377.400663249304</v>
      </c>
      <c r="N154" s="273" cm="1">
        <f t="array" ref="N154">NPV(jurisdiction.discount_rate,_xlfn.MAKEARRAY(1,N$15,_xlfn.LAMBDA(_xlpm.r,_xlpm.c,(1^(_xlpm.c-1)))))*N$17*8760</f>
        <v>66712.040810128266</v>
      </c>
      <c r="O154" s="273" cm="1">
        <f t="array" ref="O154">NPV(jurisdiction.discount_rate,_xlfn.MAKEARRAY(1,O$15,_xlfn.LAMBDA(_xlpm.r,_xlpm.c,(1^(_xlpm.c-1)))))*O$17*8760</f>
        <v>66777.284859820327</v>
      </c>
      <c r="P154" s="273" cm="1">
        <f t="array" ref="P154">NPV(jurisdiction.discount_rate,_xlfn.MAKEARRAY(1,P$15,_xlfn.LAMBDA(_xlpm.r,_xlpm.c,(1^(_xlpm.c-1)))))*P$17*8760</f>
        <v>68078.571756808131</v>
      </c>
      <c r="Q154" s="273" cm="1">
        <f t="array" ref="Q154">NPV(jurisdiction.discount_rate,_xlfn.MAKEARRAY(1,Q$15,_xlfn.LAMBDA(_xlpm.r,_xlpm.c,(1^(_xlpm.c-1)))))*Q$17*8760</f>
        <v>69346.235233485175</v>
      </c>
      <c r="R154" s="273" cm="1">
        <f t="array" ref="R154">NPV(jurisdiction.discount_rate,_xlfn.MAKEARRAY(1,R$15,_xlfn.LAMBDA(_xlpm.r,_xlpm.c,(1^(_xlpm.c-1)))))*R$17*8760</f>
        <v>69413.857110845973</v>
      </c>
      <c r="S154" s="273" cm="1">
        <f t="array" ref="S154">NPV(jurisdiction.discount_rate,_xlfn.MAKEARRAY(1,S$15,_xlfn.LAMBDA(_xlpm.r,_xlpm.c,(1^(_xlpm.c-1)))))*S$17*8760</f>
        <v>70649.97960020075</v>
      </c>
      <c r="T154" s="273" cm="1">
        <f t="array" ref="T154">NPV(jurisdiction.discount_rate,_xlfn.MAKEARRAY(1,T$15,_xlfn.LAMBDA(_xlpm.r,_xlpm.c,(1^(_xlpm.c-1)))))*T$17*8760</f>
        <v>70718.73870443448</v>
      </c>
      <c r="U154" s="273" cm="1">
        <f t="array" ref="U154">NPV(jurisdiction.discount_rate,_xlfn.MAKEARRAY(1,U$15,_xlfn.LAMBDA(_xlpm.r,_xlpm.c,(1^(_xlpm.c-1)))))*U$17*8760</f>
        <v>71924.172629774999</v>
      </c>
      <c r="V154" s="273" cm="1">
        <f t="array" ref="V154">NPV(jurisdiction.discount_rate,_xlfn.MAKEARRAY(1,V$15,_xlfn.LAMBDA(_xlpm.r,_xlpm.c,(1^(_xlpm.c-1)))))*V$17*8760</f>
        <v>71994.03583776897</v>
      </c>
      <c r="W154" s="273" cm="1">
        <f t="array" ref="W154">NPV(jurisdiction.discount_rate,_xlfn.MAKEARRAY(1,W$15,_xlfn.LAMBDA(_xlpm.r,_xlpm.c,(1^(_xlpm.c-1)))))*W$17*8760</f>
        <v>73169.610724041646</v>
      </c>
      <c r="X154" s="273" cm="1">
        <f t="array" ref="X154">NPV(jurisdiction.discount_rate,_xlfn.MAKEARRAY(1,X$15,_xlfn.LAMBDA(_xlpm.r,_xlpm.c,(1^(_xlpm.c-1)))))*X$17*8760</f>
        <v>76371.206602778038</v>
      </c>
      <c r="AB154" s="12">
        <v>148</v>
      </c>
      <c r="AC154" s="18" t="s">
        <v>106</v>
      </c>
    </row>
    <row r="155" spans="2:34" x14ac:dyDescent="0.2">
      <c r="J155" s="160" t="s">
        <v>107</v>
      </c>
      <c r="K155" s="287">
        <f>K153/K154</f>
        <v>0.11555304028466246</v>
      </c>
      <c r="L155" s="287">
        <f t="shared" ref="L155:X155" si="26">L153/L154</f>
        <v>0.10765302667847286</v>
      </c>
      <c r="M155" s="287">
        <f t="shared" si="26"/>
        <v>0.10249501678980574</v>
      </c>
      <c r="N155" s="287">
        <f t="shared" si="26"/>
        <v>9.6397512481071493E-2</v>
      </c>
      <c r="O155" s="287">
        <f t="shared" si="26"/>
        <v>9.2127529180677042E-2</v>
      </c>
      <c r="P155" s="287">
        <f t="shared" si="26"/>
        <v>8.8001272893977647E-2</v>
      </c>
      <c r="Q155" s="287">
        <f t="shared" si="26"/>
        <v>8.4143673154844806E-2</v>
      </c>
      <c r="R155" s="287">
        <f t="shared" si="26"/>
        <v>8.1541513267128024E-2</v>
      </c>
      <c r="S155" s="287">
        <f t="shared" si="26"/>
        <v>7.794990463234687E-2</v>
      </c>
      <c r="T155" s="287">
        <f t="shared" si="26"/>
        <v>7.5452992347889561E-2</v>
      </c>
      <c r="U155" s="287">
        <f t="shared" si="26"/>
        <v>7.2894874247257671E-2</v>
      </c>
      <c r="V155" s="287">
        <f t="shared" si="26"/>
        <v>7.0385742108950697E-2</v>
      </c>
      <c r="W155" s="287">
        <f t="shared" si="26"/>
        <v>6.7896964914992655E-2</v>
      </c>
      <c r="X155" s="287">
        <f t="shared" si="26"/>
        <v>6.3105429675206506E-2</v>
      </c>
      <c r="AB155" s="12">
        <v>149</v>
      </c>
      <c r="AC155" s="18" t="s">
        <v>108</v>
      </c>
    </row>
    <row r="156" spans="2:34" x14ac:dyDescent="0.2">
      <c r="J156" s="211"/>
      <c r="K156" s="9"/>
      <c r="L156" s="9"/>
      <c r="M156" s="34"/>
      <c r="N156" s="9"/>
    </row>
    <row r="157" spans="2:34" s="21" customFormat="1" x14ac:dyDescent="0.2">
      <c r="B157" s="3"/>
      <c r="C157" s="4"/>
      <c r="D157" s="2"/>
      <c r="E157"/>
      <c r="F157" s="19"/>
      <c r="G157" s="13"/>
      <c r="H157" s="19"/>
      <c r="I157" s="19"/>
      <c r="J157" s="211"/>
      <c r="K157" s="9"/>
      <c r="L157" s="9"/>
      <c r="M157" s="34"/>
      <c r="N157" s="9"/>
      <c r="Y157"/>
      <c r="Z157"/>
      <c r="AA157"/>
      <c r="AB157"/>
      <c r="AC157" s="45"/>
      <c r="AD157" s="45"/>
      <c r="AE157"/>
      <c r="AF157"/>
      <c r="AG157"/>
      <c r="AH157"/>
    </row>
    <row r="158" spans="2:34" s="21" customFormat="1" x14ac:dyDescent="0.2">
      <c r="B158" s="3"/>
      <c r="C158" s="4"/>
      <c r="D158" s="2"/>
      <c r="E158"/>
      <c r="F158" s="19"/>
      <c r="G158" s="13"/>
      <c r="H158" s="19"/>
      <c r="I158" s="19"/>
      <c r="J158" s="211"/>
      <c r="K158" s="9"/>
      <c r="L158" s="9"/>
      <c r="M158" s="9"/>
      <c r="N158" s="9"/>
      <c r="Y158"/>
      <c r="Z158"/>
      <c r="AA158"/>
      <c r="AB158"/>
      <c r="AC158" s="45"/>
      <c r="AD158" s="45"/>
      <c r="AE158"/>
      <c r="AF158"/>
      <c r="AG158"/>
      <c r="AH158"/>
    </row>
    <row r="159" spans="2:34" s="21" customFormat="1" x14ac:dyDescent="0.2">
      <c r="B159" s="3"/>
      <c r="C159" s="4"/>
      <c r="D159" s="2"/>
      <c r="E159"/>
      <c r="F159" s="19"/>
      <c r="G159" s="13"/>
      <c r="H159" s="19"/>
      <c r="I159" s="19"/>
      <c r="J159" s="211"/>
      <c r="K159" s="9"/>
      <c r="L159" s="9"/>
      <c r="M159" s="9"/>
      <c r="N159" s="9"/>
      <c r="Y159"/>
      <c r="Z159"/>
      <c r="AA159"/>
      <c r="AB159"/>
      <c r="AC159" s="45"/>
      <c r="AD159" s="45"/>
      <c r="AE159"/>
      <c r="AF159"/>
      <c r="AG159"/>
      <c r="AH159"/>
    </row>
    <row r="160" spans="2:34" s="21" customFormat="1" x14ac:dyDescent="0.2">
      <c r="B160" s="3"/>
      <c r="C160" s="4"/>
      <c r="D160" s="2"/>
      <c r="E160"/>
      <c r="F160" s="19"/>
      <c r="G160" s="13"/>
      <c r="H160" s="19"/>
      <c r="I160" s="19"/>
      <c r="J160" s="211"/>
      <c r="K160" s="9"/>
      <c r="L160" s="9"/>
      <c r="M160" s="9"/>
      <c r="N160" s="9"/>
      <c r="Y160"/>
      <c r="Z160"/>
      <c r="AA160"/>
      <c r="AB160"/>
      <c r="AC160" s="45"/>
      <c r="AD160" s="45"/>
      <c r="AE160"/>
      <c r="AF160"/>
      <c r="AG160"/>
      <c r="AH160"/>
    </row>
    <row r="161" spans="2:34" s="21" customFormat="1" x14ac:dyDescent="0.2">
      <c r="B161" s="3"/>
      <c r="C161" s="4"/>
      <c r="D161" s="2"/>
      <c r="E161"/>
      <c r="F161" s="19"/>
      <c r="G161" s="13"/>
      <c r="H161" s="19"/>
      <c r="I161" s="19"/>
      <c r="J161" s="211"/>
      <c r="K161" s="9"/>
      <c r="L161" s="9"/>
      <c r="M161" s="9"/>
      <c r="N161" s="9"/>
      <c r="Y161"/>
      <c r="Z161"/>
      <c r="AA161"/>
      <c r="AB161"/>
      <c r="AC161" s="45"/>
      <c r="AD161" s="45"/>
      <c r="AE161"/>
      <c r="AF161"/>
      <c r="AG161"/>
      <c r="AH161"/>
    </row>
    <row r="162" spans="2:34" s="21" customFormat="1" x14ac:dyDescent="0.2">
      <c r="B162" s="3"/>
      <c r="C162" s="4"/>
      <c r="D162" s="2"/>
      <c r="E162"/>
      <c r="F162" s="19"/>
      <c r="G162" s="13"/>
      <c r="H162" s="19"/>
      <c r="I162" s="19"/>
      <c r="J162" s="211"/>
      <c r="K162" s="9"/>
      <c r="L162" s="9"/>
      <c r="M162" s="9"/>
      <c r="N162" s="9"/>
      <c r="Y162"/>
      <c r="Z162"/>
      <c r="AA162"/>
      <c r="AB162"/>
      <c r="AC162" s="45"/>
      <c r="AD162" s="45"/>
      <c r="AE162"/>
      <c r="AF162"/>
      <c r="AG162"/>
      <c r="AH162"/>
    </row>
    <row r="163" spans="2:34" s="21" customFormat="1" x14ac:dyDescent="0.2">
      <c r="B163" s="3"/>
      <c r="C163" s="4"/>
      <c r="D163" s="2"/>
      <c r="E163"/>
      <c r="F163" s="19"/>
      <c r="G163" s="13"/>
      <c r="H163" s="19"/>
      <c r="I163" s="19"/>
      <c r="J163" s="211"/>
      <c r="K163" s="9"/>
      <c r="L163" s="9"/>
      <c r="M163" s="9"/>
      <c r="N163" s="9"/>
      <c r="Y163"/>
      <c r="Z163"/>
      <c r="AA163"/>
      <c r="AB163"/>
      <c r="AC163" s="45"/>
      <c r="AD163" s="45"/>
      <c r="AE163"/>
      <c r="AF163"/>
      <c r="AG163"/>
      <c r="AH163"/>
    </row>
  </sheetData>
  <mergeCells count="1">
    <mergeCell ref="B3:E3"/>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FAC9964-C82B-44BB-A174-97FF044EAB9D}">
          <x14:formula1>
            <xm:f>Jurisdiction_Inputs!$K$24:$M$24</xm:f>
          </x14:formula1>
          <xm:sqref>O145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983AF-C1D8-47CE-8E13-FC616EC32890}">
  <dimension ref="B1:AE72"/>
  <sheetViews>
    <sheetView workbookViewId="0">
      <selection activeCell="H83" sqref="H83"/>
    </sheetView>
  </sheetViews>
  <sheetFormatPr baseColWidth="10" defaultColWidth="8.83203125" defaultRowHeight="16" x14ac:dyDescent="0.2"/>
  <cols>
    <col min="1" max="1" width="2.6640625" customWidth="1"/>
    <col min="2" max="2" width="2.6640625" style="3" customWidth="1"/>
    <col min="3" max="3" width="2.6640625" style="4" customWidth="1"/>
    <col min="4" max="4" width="2.6640625" style="2" customWidth="1"/>
    <col min="5" max="5" width="20.6640625" customWidth="1"/>
    <col min="6" max="6" width="2.6640625" style="156" customWidth="1"/>
    <col min="7" max="9" width="2.6640625" style="32" customWidth="1"/>
    <col min="10" max="10" width="35.5" style="14" customWidth="1"/>
    <col min="11" max="11" width="14.83203125" style="32" bestFit="1" customWidth="1"/>
    <col min="12" max="24" width="11.33203125" style="32" bestFit="1" customWidth="1"/>
    <col min="25" max="28" width="2.6640625" customWidth="1"/>
  </cols>
  <sheetData>
    <row r="1" spans="2:31" ht="21" x14ac:dyDescent="0.25">
      <c r="B1" s="5" t="str">
        <f>"Gas Peaker Cost Forecast for " &amp;selected.location</f>
        <v>Gas Peaker Cost Forecast for Ontario</v>
      </c>
    </row>
    <row r="2" spans="2:31" ht="19" x14ac:dyDescent="0.25">
      <c r="B2" s="1" t="str">
        <f>_Cover!B14</f>
        <v>Renewable Cost Forecast</v>
      </c>
    </row>
    <row r="3" spans="2:31" ht="15" x14ac:dyDescent="0.2">
      <c r="B3" s="331" t="str">
        <f ca="1">HYPERLINK("#"&amp;CELL("address", _Contents!B3 ), "Go to Table of Contents")</f>
        <v>Go to Table of Contents</v>
      </c>
      <c r="C3" s="331"/>
      <c r="D3" s="331"/>
      <c r="E3" s="331"/>
    </row>
    <row r="4" spans="2:31" x14ac:dyDescent="0.2">
      <c r="K4" s="22">
        <v>2022</v>
      </c>
      <c r="L4" s="22">
        <v>2023</v>
      </c>
      <c r="M4" s="22">
        <v>2024</v>
      </c>
      <c r="N4" s="22">
        <v>2025</v>
      </c>
      <c r="O4" s="22">
        <v>2026</v>
      </c>
      <c r="P4" s="22">
        <v>2027</v>
      </c>
      <c r="Q4" s="22">
        <v>2028</v>
      </c>
      <c r="R4" s="22">
        <v>2029</v>
      </c>
      <c r="S4" s="22">
        <v>2030</v>
      </c>
      <c r="T4" s="22">
        <v>2031</v>
      </c>
      <c r="U4" s="22">
        <v>2032</v>
      </c>
      <c r="V4" s="22">
        <v>2033</v>
      </c>
      <c r="W4" s="22">
        <v>2034</v>
      </c>
      <c r="X4" s="22">
        <v>2035</v>
      </c>
      <c r="AC4" s="10" t="s">
        <v>27</v>
      </c>
    </row>
    <row r="6" spans="2:31" x14ac:dyDescent="0.2">
      <c r="F6" s="156" t="str">
        <f>"Results - "&amp;selected.location&amp;" Real 2022$CA"</f>
        <v>Results - Ontario Real 2022$CA</v>
      </c>
      <c r="H6" s="19"/>
      <c r="I6" s="19"/>
    </row>
    <row r="7" spans="2:31" x14ac:dyDescent="0.2">
      <c r="H7" s="19"/>
      <c r="I7" s="19"/>
      <c r="J7" s="14" t="s">
        <v>30</v>
      </c>
      <c r="K7" s="153" cm="1">
        <f t="array" ref="K7:X7">K17:X17*1000/K12:X12</f>
        <v>1571.5777714786063</v>
      </c>
      <c r="L7" s="153">
        <v>1557.563702178797</v>
      </c>
      <c r="M7" s="153">
        <v>1521.5275239792877</v>
      </c>
      <c r="N7" s="153">
        <v>1493.4993853796695</v>
      </c>
      <c r="O7" s="153">
        <v>1477.4833061798868</v>
      </c>
      <c r="P7" s="153">
        <v>1457.4632071801595</v>
      </c>
      <c r="Q7" s="153">
        <v>1445.4511477803235</v>
      </c>
      <c r="R7" s="153">
        <v>1433.4390883804867</v>
      </c>
      <c r="S7" s="153">
        <v>1425.4310487805963</v>
      </c>
      <c r="T7" s="153">
        <v>1415.4209992807318</v>
      </c>
      <c r="U7" s="153">
        <v>1407.4129596808409</v>
      </c>
      <c r="V7" s="153">
        <v>1399.4049200809502</v>
      </c>
      <c r="W7" s="153">
        <v>1393.3988903810321</v>
      </c>
      <c r="X7" s="153">
        <v>1385.3908507811409</v>
      </c>
      <c r="AB7" s="12">
        <v>1</v>
      </c>
      <c r="AC7" s="18" t="s">
        <v>29</v>
      </c>
    </row>
    <row r="8" spans="2:31" x14ac:dyDescent="0.2">
      <c r="H8" s="19"/>
      <c r="I8" s="19"/>
      <c r="J8" s="14" t="s">
        <v>32</v>
      </c>
      <c r="K8" s="153" cm="1">
        <f t="array" ref="K8:X8">K18:X18*1000/K12:X12</f>
        <v>194.24595429702038</v>
      </c>
      <c r="L8" s="153">
        <v>196.07381077207</v>
      </c>
      <c r="M8" s="153">
        <v>198.02973908773842</v>
      </c>
      <c r="N8" s="153">
        <v>200.06318309402559</v>
      </c>
      <c r="O8" s="153">
        <v>201.75771976593163</v>
      </c>
      <c r="P8" s="153">
        <v>203.11334910345639</v>
      </c>
      <c r="Q8" s="153">
        <v>204.13007110659998</v>
      </c>
      <c r="R8" s="153">
        <v>204.80788577536237</v>
      </c>
      <c r="S8" s="153">
        <v>205.14679310974358</v>
      </c>
      <c r="T8" s="153">
        <v>205.14679310974358</v>
      </c>
      <c r="U8" s="153">
        <v>205.14679310974358</v>
      </c>
      <c r="V8" s="153">
        <v>205.14679310974358</v>
      </c>
      <c r="W8" s="153">
        <v>205.14679310974358</v>
      </c>
      <c r="X8" s="153">
        <v>205.14679310974358</v>
      </c>
      <c r="AB8" s="12">
        <v>2</v>
      </c>
      <c r="AC8" s="18" t="s">
        <v>31</v>
      </c>
    </row>
    <row r="9" spans="2:31" x14ac:dyDescent="0.2">
      <c r="H9" s="19"/>
      <c r="I9" s="19"/>
      <c r="J9" s="14" t="s">
        <v>34</v>
      </c>
      <c r="K9" s="152" cm="1">
        <f t="array" ref="K9:X9">K42:X42</f>
        <v>0.23392007189542877</v>
      </c>
      <c r="L9" s="152">
        <v>0.23468770574047923</v>
      </c>
      <c r="M9" s="152">
        <v>0.23446191877460035</v>
      </c>
      <c r="N9" s="152">
        <v>0.23469683923356052</v>
      </c>
      <c r="O9" s="152">
        <v>0.23525796567636398</v>
      </c>
      <c r="P9" s="152">
        <v>0.23534815033500348</v>
      </c>
      <c r="Q9" s="152">
        <v>0.23556525403548445</v>
      </c>
      <c r="R9" s="152">
        <v>0.23551070289380321</v>
      </c>
      <c r="S9" s="152">
        <v>0.23538378385196179</v>
      </c>
      <c r="T9" s="152">
        <v>0.23488556649695719</v>
      </c>
      <c r="U9" s="152">
        <v>0.23448699261295355</v>
      </c>
      <c r="V9" s="152">
        <v>0.23408841872894992</v>
      </c>
      <c r="W9" s="152">
        <v>0.2337894883159472</v>
      </c>
      <c r="X9" s="152">
        <v>0.2333909144319436</v>
      </c>
      <c r="AB9" s="12">
        <v>3</v>
      </c>
      <c r="AC9" s="18" t="s">
        <v>33</v>
      </c>
    </row>
    <row r="10" spans="2:31" x14ac:dyDescent="0.2">
      <c r="AB10" s="12">
        <v>4</v>
      </c>
    </row>
    <row r="11" spans="2:31" x14ac:dyDescent="0.2">
      <c r="F11" s="156" t="s">
        <v>286</v>
      </c>
      <c r="AB11" s="12">
        <v>5</v>
      </c>
    </row>
    <row r="12" spans="2:31" x14ac:dyDescent="0.2">
      <c r="J12" s="14" t="s">
        <v>200</v>
      </c>
      <c r="K12" s="33">
        <v>100</v>
      </c>
      <c r="L12" s="33">
        <v>100</v>
      </c>
      <c r="M12" s="33">
        <v>100</v>
      </c>
      <c r="N12" s="33">
        <v>100</v>
      </c>
      <c r="O12" s="33">
        <v>100</v>
      </c>
      <c r="P12" s="33">
        <v>100</v>
      </c>
      <c r="Q12" s="33">
        <v>100</v>
      </c>
      <c r="R12" s="33">
        <v>100</v>
      </c>
      <c r="S12" s="33">
        <v>100</v>
      </c>
      <c r="T12" s="33">
        <v>100</v>
      </c>
      <c r="U12" s="33">
        <v>100</v>
      </c>
      <c r="V12" s="33">
        <v>100</v>
      </c>
      <c r="W12" s="33">
        <v>100</v>
      </c>
      <c r="X12" s="33">
        <v>100</v>
      </c>
      <c r="AB12" s="12">
        <v>6</v>
      </c>
      <c r="AC12" s="18" t="s">
        <v>36</v>
      </c>
    </row>
    <row r="13" spans="2:31" x14ac:dyDescent="0.2">
      <c r="J13" s="14" t="s">
        <v>43</v>
      </c>
      <c r="K13" s="33">
        <f>'Inputs.Gas.Peaker'!$L$51</f>
        <v>25</v>
      </c>
      <c r="L13" s="33">
        <f>'Inputs.Gas.Peaker'!$L$51</f>
        <v>25</v>
      </c>
      <c r="M13" s="33">
        <f>'Inputs.Gas.Peaker'!$L$51</f>
        <v>25</v>
      </c>
      <c r="N13" s="33">
        <f>'Inputs.Gas.Peaker'!$L$51</f>
        <v>25</v>
      </c>
      <c r="O13" s="33">
        <f>'Inputs.Gas.Peaker'!$L$51</f>
        <v>25</v>
      </c>
      <c r="P13" s="33">
        <f>'Inputs.Gas.Peaker'!$L$51</f>
        <v>25</v>
      </c>
      <c r="Q13" s="33">
        <f>'Inputs.Gas.Peaker'!$L$51</f>
        <v>25</v>
      </c>
      <c r="R13" s="33">
        <f>'Inputs.Gas.Peaker'!$L$51</f>
        <v>25</v>
      </c>
      <c r="S13" s="33">
        <f>'Inputs.Gas.Peaker'!$L$51</f>
        <v>25</v>
      </c>
      <c r="T13" s="33">
        <f>'Inputs.Gas.Peaker'!$L$51</f>
        <v>25</v>
      </c>
      <c r="U13" s="33">
        <f>'Inputs.Gas.Peaker'!$L$51</f>
        <v>25</v>
      </c>
      <c r="V13" s="33">
        <f>'Inputs.Gas.Peaker'!$L$51</f>
        <v>25</v>
      </c>
      <c r="W13" s="33">
        <f>'Inputs.Gas.Peaker'!$L$51</f>
        <v>25</v>
      </c>
      <c r="X13" s="33">
        <f>'Inputs.Gas.Peaker'!$L$51</f>
        <v>25</v>
      </c>
      <c r="AB13" s="12">
        <v>7</v>
      </c>
      <c r="AC13" s="18" t="s">
        <v>287</v>
      </c>
    </row>
    <row r="14" spans="2:31" x14ac:dyDescent="0.2">
      <c r="J14" s="14" t="s">
        <v>44</v>
      </c>
      <c r="K14" s="61">
        <v>0.15</v>
      </c>
      <c r="L14" s="61">
        <v>0.15</v>
      </c>
      <c r="M14" s="61">
        <v>0.15</v>
      </c>
      <c r="N14" s="61">
        <v>0.15</v>
      </c>
      <c r="O14" s="61">
        <v>0.15</v>
      </c>
      <c r="P14" s="61">
        <v>0.15</v>
      </c>
      <c r="Q14" s="61">
        <v>0.15</v>
      </c>
      <c r="R14" s="61">
        <v>0.15</v>
      </c>
      <c r="S14" s="61">
        <v>0.15</v>
      </c>
      <c r="T14" s="61">
        <v>0.15</v>
      </c>
      <c r="U14" s="61">
        <v>0.15</v>
      </c>
      <c r="V14" s="61">
        <v>0.15</v>
      </c>
      <c r="W14" s="61">
        <v>0.15</v>
      </c>
      <c r="X14" s="61">
        <v>0.15</v>
      </c>
      <c r="Y14" s="61"/>
      <c r="AB14" s="12">
        <v>8</v>
      </c>
      <c r="AC14" s="18" t="s">
        <v>36</v>
      </c>
    </row>
    <row r="15" spans="2:31" x14ac:dyDescent="0.2">
      <c r="AB15" s="12">
        <v>9</v>
      </c>
    </row>
    <row r="16" spans="2:31" x14ac:dyDescent="0.2">
      <c r="F16" s="156" t="s">
        <v>45</v>
      </c>
      <c r="G16" s="13"/>
      <c r="H16" s="19"/>
      <c r="I16" s="19"/>
      <c r="J16" s="205"/>
      <c r="L16" s="23"/>
      <c r="M16" s="21"/>
      <c r="N16" s="21"/>
      <c r="O16" s="21"/>
      <c r="P16" s="21"/>
      <c r="Q16" s="21"/>
      <c r="R16" s="21"/>
      <c r="S16" s="21"/>
      <c r="T16" s="21"/>
      <c r="U16" s="21"/>
      <c r="V16" s="21"/>
      <c r="W16" s="21"/>
      <c r="X16" s="21"/>
      <c r="Y16" s="21"/>
      <c r="AB16" s="12">
        <v>10</v>
      </c>
      <c r="AD16" s="45"/>
      <c r="AE16" s="51"/>
    </row>
    <row r="17" spans="6:31" x14ac:dyDescent="0.2">
      <c r="F17" s="19"/>
      <c r="G17" s="12"/>
      <c r="H17" s="19"/>
      <c r="I17" s="19"/>
      <c r="J17" s="236" t="s">
        <v>46</v>
      </c>
      <c r="K17" s="169">
        <f>K22</f>
        <v>157.15777714786066</v>
      </c>
      <c r="L17" s="169">
        <f t="shared" ref="L17:X17" si="0">L22</f>
        <v>155.75637021787972</v>
      </c>
      <c r="M17" s="169">
        <f t="shared" si="0"/>
        <v>152.15275239792877</v>
      </c>
      <c r="N17" s="169">
        <f t="shared" si="0"/>
        <v>149.34993853796695</v>
      </c>
      <c r="O17" s="169">
        <f t="shared" si="0"/>
        <v>147.7483306179887</v>
      </c>
      <c r="P17" s="169">
        <f t="shared" si="0"/>
        <v>145.74632071801597</v>
      </c>
      <c r="Q17" s="169">
        <f t="shared" si="0"/>
        <v>144.54511477803234</v>
      </c>
      <c r="R17" s="169">
        <f t="shared" si="0"/>
        <v>143.34390883804866</v>
      </c>
      <c r="S17" s="169">
        <f t="shared" si="0"/>
        <v>142.54310487805961</v>
      </c>
      <c r="T17" s="169">
        <f t="shared" si="0"/>
        <v>141.54209992807318</v>
      </c>
      <c r="U17" s="169">
        <f t="shared" si="0"/>
        <v>140.7412959680841</v>
      </c>
      <c r="V17" s="169">
        <f t="shared" si="0"/>
        <v>139.94049200809502</v>
      </c>
      <c r="W17" s="169">
        <f t="shared" si="0"/>
        <v>139.33988903810319</v>
      </c>
      <c r="X17" s="169">
        <f t="shared" si="0"/>
        <v>138.53908507811408</v>
      </c>
      <c r="Y17" s="152"/>
      <c r="AB17" s="12">
        <v>11</v>
      </c>
      <c r="AC17" s="18" t="s">
        <v>288</v>
      </c>
      <c r="AD17" s="45"/>
      <c r="AE17" s="51"/>
    </row>
    <row r="18" spans="6:31" x14ac:dyDescent="0.2">
      <c r="F18" s="19"/>
      <c r="G18" s="12"/>
      <c r="H18" s="19"/>
      <c r="I18" s="19"/>
      <c r="J18" s="236" t="s">
        <v>48</v>
      </c>
      <c r="K18" s="169">
        <f>SUM(K23:K26)</f>
        <v>19.424595429702038</v>
      </c>
      <c r="L18" s="169">
        <f t="shared" ref="L18:X18" si="1">SUM(L23:L26)</f>
        <v>19.607381077206998</v>
      </c>
      <c r="M18" s="169">
        <f t="shared" si="1"/>
        <v>19.80297390877384</v>
      </c>
      <c r="N18" s="169">
        <f t="shared" si="1"/>
        <v>20.006318309402559</v>
      </c>
      <c r="O18" s="169">
        <f t="shared" si="1"/>
        <v>20.175771976593161</v>
      </c>
      <c r="P18" s="169">
        <f t="shared" si="1"/>
        <v>20.311334910345639</v>
      </c>
      <c r="Q18" s="169">
        <f t="shared" si="1"/>
        <v>20.413007110659997</v>
      </c>
      <c r="R18" s="169">
        <f t="shared" si="1"/>
        <v>20.480788577536238</v>
      </c>
      <c r="S18" s="169">
        <f t="shared" si="1"/>
        <v>20.514679310974358</v>
      </c>
      <c r="T18" s="169">
        <f t="shared" si="1"/>
        <v>20.514679310974358</v>
      </c>
      <c r="U18" s="169">
        <f t="shared" si="1"/>
        <v>20.514679310974358</v>
      </c>
      <c r="V18" s="169">
        <f t="shared" si="1"/>
        <v>20.514679310974358</v>
      </c>
      <c r="W18" s="169">
        <f t="shared" si="1"/>
        <v>20.514679310974358</v>
      </c>
      <c r="X18" s="169">
        <f t="shared" si="1"/>
        <v>20.514679310974358</v>
      </c>
      <c r="Y18" s="152"/>
      <c r="AB18" s="12">
        <v>12</v>
      </c>
      <c r="AC18" s="18" t="s">
        <v>289</v>
      </c>
      <c r="AD18" s="45"/>
      <c r="AE18" s="51"/>
    </row>
    <row r="19" spans="6:31" x14ac:dyDescent="0.2">
      <c r="AB19" s="12">
        <v>13</v>
      </c>
    </row>
    <row r="20" spans="6:31" x14ac:dyDescent="0.2">
      <c r="F20" s="156" t="s">
        <v>50</v>
      </c>
      <c r="AB20" s="12">
        <v>14</v>
      </c>
    </row>
    <row r="21" spans="6:31" x14ac:dyDescent="0.2">
      <c r="G21" s="32" t="s">
        <v>290</v>
      </c>
      <c r="L21" s="237"/>
      <c r="M21" s="237"/>
      <c r="N21" s="237"/>
      <c r="O21" s="237"/>
      <c r="P21" s="237"/>
      <c r="Q21" s="237"/>
      <c r="R21" s="237"/>
      <c r="S21" s="237"/>
      <c r="T21" s="237"/>
      <c r="U21" s="237"/>
      <c r="V21" s="237"/>
      <c r="W21" s="237"/>
      <c r="X21" s="237"/>
      <c r="AB21" s="12">
        <v>15</v>
      </c>
    </row>
    <row r="22" spans="6:31" x14ac:dyDescent="0.2">
      <c r="J22" s="14" t="s">
        <v>291</v>
      </c>
      <c r="K22" s="151" cm="1">
        <f t="array" ref="K22:X22">_xlfn.ANCHORARRAY(K29)*K12:X12*1000/1000000</f>
        <v>157.15777714786066</v>
      </c>
      <c r="L22" s="151">
        <v>155.75637021787972</v>
      </c>
      <c r="M22" s="151">
        <v>152.15275239792877</v>
      </c>
      <c r="N22" s="151">
        <v>149.34993853796695</v>
      </c>
      <c r="O22" s="151">
        <v>147.7483306179887</v>
      </c>
      <c r="P22" s="151">
        <v>145.74632071801597</v>
      </c>
      <c r="Q22" s="151">
        <v>144.54511477803234</v>
      </c>
      <c r="R22" s="151">
        <v>143.34390883804866</v>
      </c>
      <c r="S22" s="151">
        <v>142.54310487805961</v>
      </c>
      <c r="T22" s="151">
        <v>141.54209992807318</v>
      </c>
      <c r="U22" s="151">
        <v>140.7412959680841</v>
      </c>
      <c r="V22" s="151">
        <v>139.94049200809502</v>
      </c>
      <c r="W22" s="151">
        <v>139.33988903810319</v>
      </c>
      <c r="X22" s="151">
        <v>138.53908507811408</v>
      </c>
      <c r="AB22" s="12">
        <v>16</v>
      </c>
      <c r="AC22" s="18" t="s">
        <v>292</v>
      </c>
    </row>
    <row r="23" spans="6:31" x14ac:dyDescent="0.2">
      <c r="J23" s="14" t="s">
        <v>293</v>
      </c>
      <c r="K23" s="151">
        <f t="shared" ref="K23:X23" si="2">K30*K12*1000/1000000</f>
        <v>3.8349153629482746</v>
      </c>
      <c r="L23" s="151">
        <f t="shared" si="2"/>
        <v>3.8349153629482746</v>
      </c>
      <c r="M23" s="151">
        <f t="shared" si="2"/>
        <v>3.8349153629482746</v>
      </c>
      <c r="N23" s="151">
        <f t="shared" si="2"/>
        <v>3.8349153629482746</v>
      </c>
      <c r="O23" s="151">
        <f t="shared" si="2"/>
        <v>3.8349153629482746</v>
      </c>
      <c r="P23" s="151">
        <f t="shared" si="2"/>
        <v>3.8349153629482746</v>
      </c>
      <c r="Q23" s="151">
        <f t="shared" si="2"/>
        <v>3.8349153629482746</v>
      </c>
      <c r="R23" s="151">
        <f t="shared" si="2"/>
        <v>3.8349153629482746</v>
      </c>
      <c r="S23" s="151">
        <f t="shared" si="2"/>
        <v>3.8349153629482746</v>
      </c>
      <c r="T23" s="151">
        <f t="shared" si="2"/>
        <v>3.8349153629482746</v>
      </c>
      <c r="U23" s="151">
        <f t="shared" si="2"/>
        <v>3.8349153629482746</v>
      </c>
      <c r="V23" s="151">
        <f t="shared" si="2"/>
        <v>3.8349153629482746</v>
      </c>
      <c r="W23" s="151">
        <f t="shared" si="2"/>
        <v>3.8349153629482746</v>
      </c>
      <c r="X23" s="151">
        <f t="shared" si="2"/>
        <v>3.8349153629482746</v>
      </c>
      <c r="AB23" s="12">
        <v>17</v>
      </c>
      <c r="AC23" s="18" t="s">
        <v>292</v>
      </c>
    </row>
    <row r="24" spans="6:31" x14ac:dyDescent="0.2">
      <c r="J24" s="14" t="s">
        <v>294</v>
      </c>
      <c r="K24" s="151">
        <f>K35*K31/1000000</f>
        <v>0.35993419906528812</v>
      </c>
      <c r="L24" s="151">
        <f t="shared" ref="L24:X24" si="3">L35*L31/1000000</f>
        <v>0.35993419906528812</v>
      </c>
      <c r="M24" s="151">
        <f t="shared" si="3"/>
        <v>0.35993419906528812</v>
      </c>
      <c r="N24" s="151">
        <f t="shared" si="3"/>
        <v>0.35993419906528812</v>
      </c>
      <c r="O24" s="151">
        <f t="shared" si="3"/>
        <v>0.35993419906528812</v>
      </c>
      <c r="P24" s="151">
        <f t="shared" si="3"/>
        <v>0.35993419906528812</v>
      </c>
      <c r="Q24" s="151">
        <f t="shared" si="3"/>
        <v>0.35993419906528812</v>
      </c>
      <c r="R24" s="151">
        <f t="shared" si="3"/>
        <v>0.35993419906528812</v>
      </c>
      <c r="S24" s="151">
        <f t="shared" si="3"/>
        <v>0.35993419906528812</v>
      </c>
      <c r="T24" s="151">
        <f t="shared" si="3"/>
        <v>0.35993419906528812</v>
      </c>
      <c r="U24" s="151">
        <f t="shared" si="3"/>
        <v>0.35993419906528812</v>
      </c>
      <c r="V24" s="151">
        <f t="shared" si="3"/>
        <v>0.35993419906528812</v>
      </c>
      <c r="W24" s="151">
        <f t="shared" si="3"/>
        <v>0.35993419906528812</v>
      </c>
      <c r="X24" s="151">
        <f t="shared" si="3"/>
        <v>0.35993419906528812</v>
      </c>
      <c r="AB24" s="12">
        <v>18</v>
      </c>
      <c r="AC24" s="18" t="s">
        <v>292</v>
      </c>
    </row>
    <row r="25" spans="6:31" x14ac:dyDescent="0.2">
      <c r="J25" s="14" t="s">
        <v>295</v>
      </c>
      <c r="K25" s="151">
        <f>K35*K33/1000000</f>
        <v>4.9269629024999961</v>
      </c>
      <c r="L25" s="151">
        <f t="shared" ref="L25:X25" si="4">L35*L33/1000000</f>
        <v>4.8386226824999969</v>
      </c>
      <c r="M25" s="151">
        <f t="shared" si="4"/>
        <v>4.7969803799999964</v>
      </c>
      <c r="N25" s="151">
        <f t="shared" si="4"/>
        <v>4.7969803799999964</v>
      </c>
      <c r="O25" s="151">
        <f t="shared" si="4"/>
        <v>4.7969803799999964</v>
      </c>
      <c r="P25" s="151">
        <f t="shared" si="4"/>
        <v>4.7969803799999964</v>
      </c>
      <c r="Q25" s="151">
        <f t="shared" si="4"/>
        <v>4.7969803799999964</v>
      </c>
      <c r="R25" s="151">
        <f t="shared" si="4"/>
        <v>4.7969803799999964</v>
      </c>
      <c r="S25" s="151">
        <f t="shared" si="4"/>
        <v>4.7969803799999964</v>
      </c>
      <c r="T25" s="151">
        <f t="shared" si="4"/>
        <v>4.7969803799999964</v>
      </c>
      <c r="U25" s="151">
        <f t="shared" si="4"/>
        <v>4.7969803799999973</v>
      </c>
      <c r="V25" s="151">
        <f t="shared" si="4"/>
        <v>4.7969803799999973</v>
      </c>
      <c r="W25" s="151">
        <f t="shared" si="4"/>
        <v>4.7969803799999973</v>
      </c>
      <c r="X25" s="151">
        <f t="shared" si="4"/>
        <v>4.7969803799999973</v>
      </c>
      <c r="AB25" s="12">
        <v>19</v>
      </c>
      <c r="AC25" s="18" t="s">
        <v>292</v>
      </c>
    </row>
    <row r="26" spans="6:31" x14ac:dyDescent="0.2">
      <c r="J26" s="14" t="s">
        <v>296</v>
      </c>
      <c r="K26" s="271">
        <f t="shared" ref="K26:X26" si="5">K35*gas.peaker.carbon.emissions_ton_per_MWh*K36/1000000</f>
        <v>10.302782965188479</v>
      </c>
      <c r="L26" s="271">
        <f t="shared" si="5"/>
        <v>10.573908832693439</v>
      </c>
      <c r="M26" s="271">
        <f t="shared" si="5"/>
        <v>10.81114396676028</v>
      </c>
      <c r="N26" s="271">
        <f t="shared" si="5"/>
        <v>11.014488367388999</v>
      </c>
      <c r="O26" s="271">
        <f t="shared" si="5"/>
        <v>11.1839420345796</v>
      </c>
      <c r="P26" s="271">
        <f t="shared" si="5"/>
        <v>11.31950496833208</v>
      </c>
      <c r="Q26" s="271">
        <f t="shared" si="5"/>
        <v>11.421177168646439</v>
      </c>
      <c r="R26" s="271">
        <f t="shared" si="5"/>
        <v>11.488958635522678</v>
      </c>
      <c r="S26" s="271">
        <f t="shared" si="5"/>
        <v>11.5228493689608</v>
      </c>
      <c r="T26" s="271">
        <f t="shared" si="5"/>
        <v>11.5228493689608</v>
      </c>
      <c r="U26" s="271">
        <f t="shared" si="5"/>
        <v>11.5228493689608</v>
      </c>
      <c r="V26" s="271">
        <f t="shared" si="5"/>
        <v>11.5228493689608</v>
      </c>
      <c r="W26" s="271">
        <f t="shared" si="5"/>
        <v>11.5228493689608</v>
      </c>
      <c r="X26" s="271">
        <f t="shared" si="5"/>
        <v>11.5228493689608</v>
      </c>
      <c r="AB26" s="12">
        <v>20</v>
      </c>
      <c r="AC26" s="18" t="s">
        <v>292</v>
      </c>
    </row>
    <row r="27" spans="6:31" x14ac:dyDescent="0.2">
      <c r="AB27" s="12">
        <v>21</v>
      </c>
    </row>
    <row r="28" spans="6:31" x14ac:dyDescent="0.2">
      <c r="F28" s="156" t="s">
        <v>81</v>
      </c>
      <c r="AB28" s="12">
        <v>22</v>
      </c>
    </row>
    <row r="29" spans="6:31" x14ac:dyDescent="0.2">
      <c r="J29" s="14" t="s">
        <v>297</v>
      </c>
      <c r="K29" s="155" cm="1">
        <f t="array" ref="K29:X29">forecast_gas.peaker_costs_CA</f>
        <v>1571.5777714786063</v>
      </c>
      <c r="L29" s="155">
        <v>1557.563702178797</v>
      </c>
      <c r="M29" s="155">
        <v>1521.5275239792877</v>
      </c>
      <c r="N29" s="155">
        <v>1493.4993853796693</v>
      </c>
      <c r="O29" s="155">
        <v>1477.4833061798872</v>
      </c>
      <c r="P29" s="155">
        <v>1457.4632071801598</v>
      </c>
      <c r="Q29" s="155">
        <v>1445.4511477803233</v>
      </c>
      <c r="R29" s="155">
        <v>1433.4390883804867</v>
      </c>
      <c r="S29" s="155">
        <v>1425.4310487805958</v>
      </c>
      <c r="T29" s="155">
        <v>1415.4209992807321</v>
      </c>
      <c r="U29" s="155">
        <v>1407.4129596808411</v>
      </c>
      <c r="V29" s="155">
        <v>1399.4049200809502</v>
      </c>
      <c r="W29" s="155">
        <v>1393.3988903810318</v>
      </c>
      <c r="X29" s="155">
        <v>1385.3908507811409</v>
      </c>
      <c r="AB29" s="12">
        <v>23</v>
      </c>
      <c r="AC29" s="18" t="s">
        <v>287</v>
      </c>
    </row>
    <row r="30" spans="6:31" x14ac:dyDescent="0.2">
      <c r="J30" s="14" t="s">
        <v>298</v>
      </c>
      <c r="K30" s="155" cm="1">
        <f t="array" ref="K30:X30">Inputs.CCGT!forecast_ccgt_fixed_om_costs_CA</f>
        <v>38.34915362948275</v>
      </c>
      <c r="L30" s="155">
        <v>38.34915362948275</v>
      </c>
      <c r="M30" s="155">
        <v>38.34915362948275</v>
      </c>
      <c r="N30" s="155">
        <v>38.34915362948275</v>
      </c>
      <c r="O30" s="155">
        <v>38.34915362948275</v>
      </c>
      <c r="P30" s="155">
        <v>38.34915362948275</v>
      </c>
      <c r="Q30" s="155">
        <v>38.34915362948275</v>
      </c>
      <c r="R30" s="155">
        <v>38.34915362948275</v>
      </c>
      <c r="S30" s="155">
        <v>38.34915362948275</v>
      </c>
      <c r="T30" s="155">
        <v>38.34915362948275</v>
      </c>
      <c r="U30" s="155">
        <v>38.34915362948275</v>
      </c>
      <c r="V30" s="155">
        <v>38.34915362948275</v>
      </c>
      <c r="W30" s="155">
        <v>38.34915362948275</v>
      </c>
      <c r="X30" s="155">
        <v>38.34915362948275</v>
      </c>
      <c r="AB30" s="12">
        <v>24</v>
      </c>
      <c r="AC30" s="18" t="s">
        <v>287</v>
      </c>
    </row>
    <row r="31" spans="6:31" x14ac:dyDescent="0.2">
      <c r="J31" s="14" t="s">
        <v>299</v>
      </c>
      <c r="K31" s="155" cm="1">
        <f t="array" ref="K31:X31">Inputs.CCGT!forecast_ccgt_var_om_costs_CA</f>
        <v>2.739225259248768</v>
      </c>
      <c r="L31" s="155">
        <v>2.739225259248768</v>
      </c>
      <c r="M31" s="155">
        <v>2.739225259248768</v>
      </c>
      <c r="N31" s="155">
        <v>2.739225259248768</v>
      </c>
      <c r="O31" s="155">
        <v>2.739225259248768</v>
      </c>
      <c r="P31" s="155">
        <v>2.739225259248768</v>
      </c>
      <c r="Q31" s="155">
        <v>2.739225259248768</v>
      </c>
      <c r="R31" s="155">
        <v>2.739225259248768</v>
      </c>
      <c r="S31" s="155">
        <v>2.739225259248768</v>
      </c>
      <c r="T31" s="155">
        <v>2.739225259248768</v>
      </c>
      <c r="U31" s="155">
        <v>2.739225259248768</v>
      </c>
      <c r="V31" s="155">
        <v>2.739225259248768</v>
      </c>
      <c r="W31" s="155">
        <v>2.739225259248768</v>
      </c>
      <c r="X31" s="155">
        <v>2.739225259248768</v>
      </c>
      <c r="AB31" s="12">
        <v>25</v>
      </c>
      <c r="AC31" s="18" t="s">
        <v>287</v>
      </c>
    </row>
    <row r="32" spans="6:31" x14ac:dyDescent="0.2">
      <c r="J32" s="14" t="s">
        <v>300</v>
      </c>
      <c r="K32" s="155" cm="1">
        <f t="array" ref="K32:X32">'Inputs.Gas.Peaker'!N56:AA56</f>
        <v>3.8576041666666638</v>
      </c>
      <c r="L32" s="155">
        <v>3.7884374999999979</v>
      </c>
      <c r="M32" s="155">
        <v>3.7558333333333307</v>
      </c>
      <c r="N32" s="155">
        <v>3.7558333333333307</v>
      </c>
      <c r="O32" s="155">
        <v>3.7558333333333307</v>
      </c>
      <c r="P32" s="155">
        <v>3.7558333333333311</v>
      </c>
      <c r="Q32" s="155">
        <v>3.7558333333333311</v>
      </c>
      <c r="R32" s="155">
        <v>3.7558333333333311</v>
      </c>
      <c r="S32" s="155">
        <v>3.7558333333333311</v>
      </c>
      <c r="T32" s="155">
        <v>3.7558333333333311</v>
      </c>
      <c r="U32" s="155">
        <v>3.7558333333333316</v>
      </c>
      <c r="V32" s="155">
        <v>3.7558333333333316</v>
      </c>
      <c r="W32" s="155">
        <v>3.7558333333333316</v>
      </c>
      <c r="X32" s="155">
        <v>3.7558333333333316</v>
      </c>
      <c r="AB32" s="12">
        <v>26</v>
      </c>
      <c r="AC32" s="18" t="s">
        <v>287</v>
      </c>
    </row>
    <row r="33" spans="9:29" x14ac:dyDescent="0.2">
      <c r="J33" s="14" t="s">
        <v>301</v>
      </c>
      <c r="K33" s="155" cm="1">
        <f t="array" ref="K33:X33">'Inputs.Gas.Peaker'!N57:AA57</f>
        <v>37.495912499999967</v>
      </c>
      <c r="L33" s="155">
        <v>36.823612499999982</v>
      </c>
      <c r="M33" s="155">
        <v>36.506699999999974</v>
      </c>
      <c r="N33" s="155">
        <v>36.506699999999974</v>
      </c>
      <c r="O33" s="155">
        <v>36.506699999999974</v>
      </c>
      <c r="P33" s="155">
        <v>36.506699999999974</v>
      </c>
      <c r="Q33" s="155">
        <v>36.506699999999974</v>
      </c>
      <c r="R33" s="155">
        <v>36.506699999999974</v>
      </c>
      <c r="S33" s="155">
        <v>36.506699999999974</v>
      </c>
      <c r="T33" s="155">
        <v>36.506699999999974</v>
      </c>
      <c r="U33" s="155">
        <v>36.506699999999981</v>
      </c>
      <c r="V33" s="155">
        <v>36.506699999999981</v>
      </c>
      <c r="W33" s="155">
        <v>36.506699999999981</v>
      </c>
      <c r="X33" s="155">
        <v>36.506699999999981</v>
      </c>
      <c r="AB33" s="12">
        <v>27</v>
      </c>
      <c r="AC33" s="18" t="s">
        <v>287</v>
      </c>
    </row>
    <row r="34" spans="9:29" x14ac:dyDescent="0.2">
      <c r="J34" s="14" t="s">
        <v>302</v>
      </c>
      <c r="K34" s="238">
        <f>K14</f>
        <v>0.15</v>
      </c>
      <c r="L34" s="238">
        <f t="shared" ref="L34:X34" si="6">L14</f>
        <v>0.15</v>
      </c>
      <c r="M34" s="238">
        <f t="shared" si="6"/>
        <v>0.15</v>
      </c>
      <c r="N34" s="238">
        <f t="shared" si="6"/>
        <v>0.15</v>
      </c>
      <c r="O34" s="238">
        <f t="shared" si="6"/>
        <v>0.15</v>
      </c>
      <c r="P34" s="238">
        <f t="shared" si="6"/>
        <v>0.15</v>
      </c>
      <c r="Q34" s="238">
        <f t="shared" si="6"/>
        <v>0.15</v>
      </c>
      <c r="R34" s="238">
        <f t="shared" si="6"/>
        <v>0.15</v>
      </c>
      <c r="S34" s="238">
        <f t="shared" si="6"/>
        <v>0.15</v>
      </c>
      <c r="T34" s="238">
        <f t="shared" si="6"/>
        <v>0.15</v>
      </c>
      <c r="U34" s="238">
        <f t="shared" si="6"/>
        <v>0.15</v>
      </c>
      <c r="V34" s="238">
        <f t="shared" si="6"/>
        <v>0.15</v>
      </c>
      <c r="W34" s="238">
        <f t="shared" si="6"/>
        <v>0.15</v>
      </c>
      <c r="X34" s="238">
        <f t="shared" si="6"/>
        <v>0.15</v>
      </c>
      <c r="AB34" s="12">
        <v>28</v>
      </c>
      <c r="AC34" s="18" t="s">
        <v>36</v>
      </c>
    </row>
    <row r="35" spans="9:29" x14ac:dyDescent="0.2">
      <c r="J35" s="14" t="s">
        <v>303</v>
      </c>
      <c r="K35" s="239">
        <f>K34*8760*K12</f>
        <v>131400</v>
      </c>
      <c r="L35" s="239">
        <f t="shared" ref="L35:X35" si="7">L34*8760*L12</f>
        <v>131400</v>
      </c>
      <c r="M35" s="239">
        <f t="shared" si="7"/>
        <v>131400</v>
      </c>
      <c r="N35" s="239">
        <f t="shared" si="7"/>
        <v>131400</v>
      </c>
      <c r="O35" s="239">
        <f t="shared" si="7"/>
        <v>131400</v>
      </c>
      <c r="P35" s="239">
        <f t="shared" si="7"/>
        <v>131400</v>
      </c>
      <c r="Q35" s="239">
        <f t="shared" si="7"/>
        <v>131400</v>
      </c>
      <c r="R35" s="239">
        <f t="shared" si="7"/>
        <v>131400</v>
      </c>
      <c r="S35" s="239">
        <f t="shared" si="7"/>
        <v>131400</v>
      </c>
      <c r="T35" s="239">
        <f t="shared" si="7"/>
        <v>131400</v>
      </c>
      <c r="U35" s="239">
        <f t="shared" si="7"/>
        <v>131400</v>
      </c>
      <c r="V35" s="239">
        <f t="shared" si="7"/>
        <v>131400</v>
      </c>
      <c r="W35" s="239">
        <f t="shared" si="7"/>
        <v>131400</v>
      </c>
      <c r="X35" s="239">
        <f t="shared" si="7"/>
        <v>131400</v>
      </c>
      <c r="AB35" s="12">
        <v>29</v>
      </c>
      <c r="AC35" s="18" t="s">
        <v>292</v>
      </c>
    </row>
    <row r="36" spans="9:29" x14ac:dyDescent="0.2">
      <c r="J36" s="14" t="s">
        <v>25</v>
      </c>
      <c r="K36" s="155" cm="1">
        <f t="array" ref="K36:X36">forecast.carbon.tax</f>
        <v>152</v>
      </c>
      <c r="L36" s="155">
        <v>156</v>
      </c>
      <c r="M36" s="155">
        <v>159.5</v>
      </c>
      <c r="N36" s="155">
        <v>162.5</v>
      </c>
      <c r="O36" s="155">
        <v>165</v>
      </c>
      <c r="P36" s="155">
        <v>167</v>
      </c>
      <c r="Q36" s="155">
        <v>168.5</v>
      </c>
      <c r="R36" s="155">
        <v>169.5</v>
      </c>
      <c r="S36" s="155">
        <v>170</v>
      </c>
      <c r="T36" s="155">
        <v>170</v>
      </c>
      <c r="U36" s="155">
        <v>170</v>
      </c>
      <c r="V36" s="155">
        <v>170</v>
      </c>
      <c r="W36" s="155">
        <v>170</v>
      </c>
      <c r="X36" s="155">
        <v>170</v>
      </c>
      <c r="AB36" s="12">
        <v>30</v>
      </c>
      <c r="AC36" s="18" t="s">
        <v>287</v>
      </c>
    </row>
    <row r="37" spans="9:29" x14ac:dyDescent="0.2">
      <c r="K37" s="169"/>
      <c r="L37" s="169"/>
      <c r="M37" s="169"/>
      <c r="N37" s="169"/>
      <c r="O37" s="169"/>
      <c r="P37" s="169"/>
      <c r="Q37" s="169"/>
      <c r="R37" s="169"/>
      <c r="S37" s="169"/>
      <c r="T37" s="169"/>
      <c r="U37" s="169"/>
      <c r="V37" s="169"/>
      <c r="W37" s="169"/>
      <c r="X37" s="169"/>
      <c r="AB37" s="12">
        <v>31</v>
      </c>
    </row>
    <row r="38" spans="9:29" x14ac:dyDescent="0.2">
      <c r="I38" s="19" t="s">
        <v>100</v>
      </c>
      <c r="J38" s="20"/>
      <c r="K38" s="21"/>
      <c r="L38" s="21"/>
      <c r="M38" s="21"/>
      <c r="N38" s="21"/>
      <c r="O38" s="21"/>
      <c r="P38" s="21"/>
      <c r="Q38" s="21"/>
      <c r="R38" s="21"/>
      <c r="S38" s="21"/>
      <c r="T38" s="21"/>
      <c r="U38" s="21"/>
      <c r="V38" s="21"/>
      <c r="W38" s="21"/>
      <c r="X38" s="21"/>
      <c r="AB38" s="12">
        <v>32</v>
      </c>
    </row>
    <row r="39" spans="9:29" x14ac:dyDescent="0.2">
      <c r="I39" s="19"/>
      <c r="J39" s="160" t="s">
        <v>101</v>
      </c>
      <c r="K39" s="204">
        <f>((project.interest_rate*(1+project.interest_rate)^project.debt_period)/(((1+project.interest_rate)^project.debt_period)-1))</f>
        <v>0.17913501805901069</v>
      </c>
      <c r="L39" s="204">
        <f t="shared" ref="L39:X39" si="8">((project.interest_rate*(1+project.interest_rate)^project.debt_period)/(((1+project.interest_rate)^project.debt_period)-1))</f>
        <v>0.17913501805901069</v>
      </c>
      <c r="M39" s="204">
        <f t="shared" si="8"/>
        <v>0.17913501805901069</v>
      </c>
      <c r="N39" s="204">
        <f t="shared" si="8"/>
        <v>0.17913501805901069</v>
      </c>
      <c r="O39" s="204">
        <f t="shared" si="8"/>
        <v>0.17913501805901069</v>
      </c>
      <c r="P39" s="204">
        <f t="shared" si="8"/>
        <v>0.17913501805901069</v>
      </c>
      <c r="Q39" s="204">
        <f t="shared" si="8"/>
        <v>0.17913501805901069</v>
      </c>
      <c r="R39" s="204">
        <f t="shared" si="8"/>
        <v>0.17913501805901069</v>
      </c>
      <c r="S39" s="204">
        <f t="shared" si="8"/>
        <v>0.17913501805901069</v>
      </c>
      <c r="T39" s="204">
        <f t="shared" si="8"/>
        <v>0.17913501805901069</v>
      </c>
      <c r="U39" s="204">
        <f t="shared" si="8"/>
        <v>0.17913501805901069</v>
      </c>
      <c r="V39" s="204">
        <f t="shared" si="8"/>
        <v>0.17913501805901069</v>
      </c>
      <c r="W39" s="204">
        <f t="shared" si="8"/>
        <v>0.17913501805901069</v>
      </c>
      <c r="X39" s="204">
        <f t="shared" si="8"/>
        <v>0.17913501805901069</v>
      </c>
      <c r="AB39" s="12">
        <v>33</v>
      </c>
      <c r="AC39" s="18" t="s">
        <v>102</v>
      </c>
    </row>
    <row r="40" spans="9:29" x14ac:dyDescent="0.2">
      <c r="I40" s="19"/>
      <c r="J40" s="160" t="s">
        <v>103</v>
      </c>
      <c r="K40" s="159">
        <f t="shared" ref="K40:X40" si="9">NPV(jurisdiction.discount_rate,_xlfn.MAKEARRAY(1,project.debt_period,_xlfn.LAMBDA(_xlpm.r,_xlpm.c,K$39*K$7*(1-project.downpayment))))+NPV(jurisdiction.discount_rate,_xlfn.MAKEARRAY(1,K13,_xlfn.LAMBDA(_xlpm.r,_xlpm.c,K$8)))+K$7*project.downpayment</f>
        <v>5081.6914182555001</v>
      </c>
      <c r="L40" s="159">
        <f t="shared" si="9"/>
        <v>5098.3675345508955</v>
      </c>
      <c r="M40" s="159">
        <f t="shared" si="9"/>
        <v>5093.4625271371942</v>
      </c>
      <c r="N40" s="159">
        <f t="shared" si="9"/>
        <v>5098.5659510144069</v>
      </c>
      <c r="O40" s="159">
        <f t="shared" si="9"/>
        <v>5110.7558901070443</v>
      </c>
      <c r="P40" s="159">
        <f t="shared" si="9"/>
        <v>5112.7150661715568</v>
      </c>
      <c r="Q40" s="159">
        <f t="shared" si="9"/>
        <v>5117.4314378906065</v>
      </c>
      <c r="R40" s="159">
        <f t="shared" si="9"/>
        <v>5116.2463661424181</v>
      </c>
      <c r="S40" s="159">
        <f t="shared" si="9"/>
        <v>5113.4891704878819</v>
      </c>
      <c r="T40" s="159">
        <f t="shared" si="9"/>
        <v>5102.6658715856629</v>
      </c>
      <c r="U40" s="159">
        <f t="shared" si="9"/>
        <v>5094.0072324638886</v>
      </c>
      <c r="V40" s="159">
        <f t="shared" si="9"/>
        <v>5085.3485933421143</v>
      </c>
      <c r="W40" s="159">
        <f t="shared" si="9"/>
        <v>5078.8546140007838</v>
      </c>
      <c r="X40" s="159">
        <f t="shared" si="9"/>
        <v>5070.1959748790096</v>
      </c>
      <c r="AB40" s="12">
        <v>34</v>
      </c>
      <c r="AC40" s="18" t="s">
        <v>104</v>
      </c>
    </row>
    <row r="41" spans="9:29" x14ac:dyDescent="0.2">
      <c r="I41" s="19"/>
      <c r="J41" s="160" t="s">
        <v>105</v>
      </c>
      <c r="K41" s="273" cm="1">
        <f t="array" ref="K41">NPV(jurisdiction.discount_rate,_xlfn.MAKEARRAY(1,K$13,_xlfn.LAMBDA(_xlpm.r,_xlpm.c,(0.995^(_xlpm.c-1)))))*K$14*8760</f>
        <v>21724.050343688381</v>
      </c>
      <c r="L41" s="273" cm="1">
        <f t="array" ref="L41">NPV(jurisdiction.discount_rate,_xlfn.MAKEARRAY(1,L$13,_xlfn.LAMBDA(_xlpm.r,_xlpm.c,(0.995^(_xlpm.c-1)))))*L$14*8760</f>
        <v>21724.050343688381</v>
      </c>
      <c r="M41" s="273" cm="1">
        <f t="array" ref="M41">NPV(jurisdiction.discount_rate,_xlfn.MAKEARRAY(1,M$13,_xlfn.LAMBDA(_xlpm.r,_xlpm.c,(0.995^(_xlpm.c-1)))))*M$14*8760</f>
        <v>21724.050343688381</v>
      </c>
      <c r="N41" s="273" cm="1">
        <f t="array" ref="N41">NPV(jurisdiction.discount_rate,_xlfn.MAKEARRAY(1,N$13,_xlfn.LAMBDA(_xlpm.r,_xlpm.c,(0.995^(_xlpm.c-1)))))*N$14*8760</f>
        <v>21724.050343688381</v>
      </c>
      <c r="O41" s="273" cm="1">
        <f t="array" ref="O41">NPV(jurisdiction.discount_rate,_xlfn.MAKEARRAY(1,O$13,_xlfn.LAMBDA(_xlpm.r,_xlpm.c,(0.995^(_xlpm.c-1)))))*O$14*8760</f>
        <v>21724.050343688381</v>
      </c>
      <c r="P41" s="273" cm="1">
        <f t="array" ref="P41">NPV(jurisdiction.discount_rate,_xlfn.MAKEARRAY(1,P$13,_xlfn.LAMBDA(_xlpm.r,_xlpm.c,(0.995^(_xlpm.c-1)))))*P$14*8760</f>
        <v>21724.050343688381</v>
      </c>
      <c r="Q41" s="273" cm="1">
        <f t="array" ref="Q41">NPV(jurisdiction.discount_rate,_xlfn.MAKEARRAY(1,Q$13,_xlfn.LAMBDA(_xlpm.r,_xlpm.c,(0.995^(_xlpm.c-1)))))*Q$14*8760</f>
        <v>21724.050343688381</v>
      </c>
      <c r="R41" s="273" cm="1">
        <f t="array" ref="R41">NPV(jurisdiction.discount_rate,_xlfn.MAKEARRAY(1,R$13,_xlfn.LAMBDA(_xlpm.r,_xlpm.c,(0.995^(_xlpm.c-1)))))*R$14*8760</f>
        <v>21724.050343688381</v>
      </c>
      <c r="S41" s="273" cm="1">
        <f t="array" ref="S41">NPV(jurisdiction.discount_rate,_xlfn.MAKEARRAY(1,S$13,_xlfn.LAMBDA(_xlpm.r,_xlpm.c,(0.995^(_xlpm.c-1)))))*S$14*8760</f>
        <v>21724.050343688381</v>
      </c>
      <c r="T41" s="273" cm="1">
        <f t="array" ref="T41">NPV(jurisdiction.discount_rate,_xlfn.MAKEARRAY(1,T$13,_xlfn.LAMBDA(_xlpm.r,_xlpm.c,(0.995^(_xlpm.c-1)))))*T$14*8760</f>
        <v>21724.050343688381</v>
      </c>
      <c r="U41" s="273" cm="1">
        <f t="array" ref="U41">NPV(jurisdiction.discount_rate,_xlfn.MAKEARRAY(1,U$13,_xlfn.LAMBDA(_xlpm.r,_xlpm.c,(0.995^(_xlpm.c-1)))))*U$14*8760</f>
        <v>21724.050343688381</v>
      </c>
      <c r="V41" s="273" cm="1">
        <f t="array" ref="V41">NPV(jurisdiction.discount_rate,_xlfn.MAKEARRAY(1,V$13,_xlfn.LAMBDA(_xlpm.r,_xlpm.c,(0.995^(_xlpm.c-1)))))*V$14*8760</f>
        <v>21724.050343688381</v>
      </c>
      <c r="W41" s="273" cm="1">
        <f t="array" ref="W41">NPV(jurisdiction.discount_rate,_xlfn.MAKEARRAY(1,W$13,_xlfn.LAMBDA(_xlpm.r,_xlpm.c,(0.995^(_xlpm.c-1)))))*W$14*8760</f>
        <v>21724.050343688381</v>
      </c>
      <c r="X41" s="273" cm="1">
        <f t="array" ref="X41">NPV(jurisdiction.discount_rate,_xlfn.MAKEARRAY(1,X$13,_xlfn.LAMBDA(_xlpm.r,_xlpm.c,(0.995^(_xlpm.c-1)))))*X$14*8760</f>
        <v>21724.050343688381</v>
      </c>
      <c r="AB41" s="12">
        <v>35</v>
      </c>
      <c r="AC41" s="18" t="s">
        <v>106</v>
      </c>
    </row>
    <row r="42" spans="9:29" x14ac:dyDescent="0.2">
      <c r="I42" s="19"/>
      <c r="J42" s="160" t="s">
        <v>107</v>
      </c>
      <c r="K42" s="287">
        <f>K40/K41</f>
        <v>0.23392007189542877</v>
      </c>
      <c r="L42" s="287">
        <f t="shared" ref="L42:X42" si="10">L40/L41</f>
        <v>0.23468770574047923</v>
      </c>
      <c r="M42" s="287">
        <f t="shared" si="10"/>
        <v>0.23446191877460035</v>
      </c>
      <c r="N42" s="287">
        <f t="shared" si="10"/>
        <v>0.23469683923356052</v>
      </c>
      <c r="O42" s="287">
        <f t="shared" si="10"/>
        <v>0.23525796567636398</v>
      </c>
      <c r="P42" s="287">
        <f t="shared" si="10"/>
        <v>0.23534815033500348</v>
      </c>
      <c r="Q42" s="287">
        <f t="shared" si="10"/>
        <v>0.23556525403548445</v>
      </c>
      <c r="R42" s="287">
        <f t="shared" si="10"/>
        <v>0.23551070289380321</v>
      </c>
      <c r="S42" s="287">
        <f t="shared" si="10"/>
        <v>0.23538378385196179</v>
      </c>
      <c r="T42" s="287">
        <f t="shared" si="10"/>
        <v>0.23488556649695719</v>
      </c>
      <c r="U42" s="287">
        <f t="shared" si="10"/>
        <v>0.23448699261295355</v>
      </c>
      <c r="V42" s="287">
        <f t="shared" si="10"/>
        <v>0.23408841872894992</v>
      </c>
      <c r="W42" s="287">
        <f t="shared" si="10"/>
        <v>0.2337894883159472</v>
      </c>
      <c r="X42" s="287">
        <f t="shared" si="10"/>
        <v>0.2333909144319436</v>
      </c>
      <c r="AB42" s="12">
        <v>36</v>
      </c>
      <c r="AC42" s="18" t="s">
        <v>108</v>
      </c>
    </row>
    <row r="43" spans="9:29" x14ac:dyDescent="0.2">
      <c r="AB43" s="12"/>
    </row>
    <row r="44" spans="9:29" x14ac:dyDescent="0.2">
      <c r="AB44" s="12"/>
    </row>
    <row r="45" spans="9:29" x14ac:dyDescent="0.2">
      <c r="AB45" s="12"/>
    </row>
    <row r="46" spans="9:29" x14ac:dyDescent="0.2">
      <c r="AB46" s="12"/>
    </row>
    <row r="47" spans="9:29" x14ac:dyDescent="0.2">
      <c r="AB47" s="12"/>
    </row>
    <row r="48" spans="9:29" x14ac:dyDescent="0.2">
      <c r="AB48" s="12"/>
    </row>
    <row r="49" spans="11:28" x14ac:dyDescent="0.2">
      <c r="K49" s="169"/>
      <c r="AB49" s="12"/>
    </row>
    <row r="50" spans="11:28" x14ac:dyDescent="0.2">
      <c r="K50" s="169"/>
      <c r="AB50" s="12"/>
    </row>
    <row r="51" spans="11:28" x14ac:dyDescent="0.2">
      <c r="AB51" s="12"/>
    </row>
    <row r="52" spans="11:28" x14ac:dyDescent="0.2">
      <c r="AB52" s="12"/>
    </row>
    <row r="53" spans="11:28" x14ac:dyDescent="0.2">
      <c r="AB53" s="12"/>
    </row>
    <row r="54" spans="11:28" x14ac:dyDescent="0.2">
      <c r="AB54" s="12"/>
    </row>
    <row r="55" spans="11:28" x14ac:dyDescent="0.2">
      <c r="AB55" s="12"/>
    </row>
    <row r="56" spans="11:28" x14ac:dyDescent="0.2">
      <c r="AB56" s="12"/>
    </row>
    <row r="57" spans="11:28" x14ac:dyDescent="0.2">
      <c r="AB57" s="12"/>
    </row>
    <row r="58" spans="11:28" x14ac:dyDescent="0.2">
      <c r="AB58" s="12"/>
    </row>
    <row r="59" spans="11:28" x14ac:dyDescent="0.2">
      <c r="AB59" s="12"/>
    </row>
    <row r="60" spans="11:28" x14ac:dyDescent="0.2">
      <c r="AB60" s="12"/>
    </row>
    <row r="61" spans="11:28" x14ac:dyDescent="0.2">
      <c r="AB61" s="12"/>
    </row>
    <row r="62" spans="11:28" x14ac:dyDescent="0.2">
      <c r="AB62" s="12"/>
    </row>
    <row r="63" spans="11:28" x14ac:dyDescent="0.2">
      <c r="AB63" s="12"/>
    </row>
    <row r="64" spans="11:28" x14ac:dyDescent="0.2">
      <c r="AB64" s="12"/>
    </row>
    <row r="65" spans="28:28" x14ac:dyDescent="0.2">
      <c r="AB65" s="12"/>
    </row>
    <row r="66" spans="28:28" x14ac:dyDescent="0.2">
      <c r="AB66" s="12"/>
    </row>
    <row r="67" spans="28:28" x14ac:dyDescent="0.2">
      <c r="AB67" s="12"/>
    </row>
    <row r="68" spans="28:28" x14ac:dyDescent="0.2">
      <c r="AB68" s="12"/>
    </row>
    <row r="69" spans="28:28" x14ac:dyDescent="0.2">
      <c r="AB69" s="12"/>
    </row>
    <row r="70" spans="28:28" x14ac:dyDescent="0.2">
      <c r="AB70" s="12"/>
    </row>
    <row r="71" spans="28:28" x14ac:dyDescent="0.2">
      <c r="AB71" s="12"/>
    </row>
    <row r="72" spans="28:28" x14ac:dyDescent="0.2">
      <c r="AB72" s="12"/>
    </row>
  </sheetData>
  <mergeCells count="1">
    <mergeCell ref="B3:E3"/>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4727A-7CD1-44BE-BDD2-61E748D14C94}">
  <dimension ref="B1:AE72"/>
  <sheetViews>
    <sheetView workbookViewId="0">
      <selection activeCell="H83" sqref="H83"/>
    </sheetView>
  </sheetViews>
  <sheetFormatPr baseColWidth="10" defaultColWidth="8.83203125" defaultRowHeight="16" x14ac:dyDescent="0.2"/>
  <cols>
    <col min="1" max="1" width="2.6640625" customWidth="1"/>
    <col min="2" max="2" width="2.6640625" style="3" customWidth="1"/>
    <col min="3" max="3" width="2.6640625" style="4" customWidth="1"/>
    <col min="4" max="4" width="2.6640625" style="2" customWidth="1"/>
    <col min="5" max="5" width="20.6640625" customWidth="1"/>
    <col min="6" max="6" width="2.6640625" style="156" customWidth="1"/>
    <col min="7" max="9" width="2.6640625" style="32" customWidth="1"/>
    <col min="10" max="10" width="35.5" style="14" customWidth="1"/>
    <col min="11" max="11" width="14.83203125" style="32" bestFit="1" customWidth="1"/>
    <col min="12" max="24" width="11.33203125" style="32" bestFit="1" customWidth="1"/>
    <col min="25" max="28" width="2.6640625" customWidth="1"/>
  </cols>
  <sheetData>
    <row r="1" spans="2:31" ht="21" x14ac:dyDescent="0.25">
      <c r="B1" s="5" t="str">
        <f>"Combined Cycle Cost Forecast for " &amp;selected.location</f>
        <v>Combined Cycle Cost Forecast for Ontario</v>
      </c>
    </row>
    <row r="2" spans="2:31" ht="19" x14ac:dyDescent="0.25">
      <c r="B2" s="1" t="str">
        <f>_Cover!B14</f>
        <v>Renewable Cost Forecast</v>
      </c>
    </row>
    <row r="3" spans="2:31" ht="15" x14ac:dyDescent="0.2">
      <c r="B3" s="331" t="str">
        <f ca="1">HYPERLINK("#"&amp;CELL("address", _Contents!B3 ), "Go to Table of Contents")</f>
        <v>Go to Table of Contents</v>
      </c>
      <c r="C3" s="331"/>
      <c r="D3" s="331"/>
      <c r="E3" s="331"/>
    </row>
    <row r="4" spans="2:31" x14ac:dyDescent="0.2">
      <c r="K4" s="22">
        <v>2022</v>
      </c>
      <c r="L4" s="22">
        <v>2023</v>
      </c>
      <c r="M4" s="22">
        <v>2024</v>
      </c>
      <c r="N4" s="22">
        <v>2025</v>
      </c>
      <c r="O4" s="22">
        <v>2026</v>
      </c>
      <c r="P4" s="22">
        <v>2027</v>
      </c>
      <c r="Q4" s="22">
        <v>2028</v>
      </c>
      <c r="R4" s="22">
        <v>2029</v>
      </c>
      <c r="S4" s="22">
        <v>2030</v>
      </c>
      <c r="T4" s="22">
        <v>2031</v>
      </c>
      <c r="U4" s="22">
        <v>2032</v>
      </c>
      <c r="V4" s="22">
        <v>2033</v>
      </c>
      <c r="W4" s="22">
        <v>2034</v>
      </c>
      <c r="X4" s="22">
        <v>2035</v>
      </c>
      <c r="AC4" s="10" t="s">
        <v>27</v>
      </c>
    </row>
    <row r="6" spans="2:31" x14ac:dyDescent="0.2">
      <c r="F6" s="156" t="str">
        <f>"Results - "&amp;selected.location&amp;" Real 2022$CA"</f>
        <v>Results - Ontario Real 2022$CA</v>
      </c>
      <c r="H6" s="19"/>
      <c r="I6" s="19"/>
    </row>
    <row r="7" spans="2:31" x14ac:dyDescent="0.2">
      <c r="H7" s="19"/>
      <c r="I7" s="19"/>
      <c r="J7" s="14" t="s">
        <v>30</v>
      </c>
      <c r="K7" s="153" cm="1">
        <f t="array" ref="K7:X7">K17:X17*1000/K12:X12</f>
        <v>1816.6839759791653</v>
      </c>
      <c r="L7" s="153">
        <v>1806.3969772476867</v>
      </c>
      <c r="M7" s="153">
        <v>1781.7081802921375</v>
      </c>
      <c r="N7" s="153">
        <v>1765.2489823217716</v>
      </c>
      <c r="O7" s="153">
        <v>1752.9045838439968</v>
      </c>
      <c r="P7" s="153">
        <v>1738.502785619926</v>
      </c>
      <c r="Q7" s="153">
        <v>1728.2157868884474</v>
      </c>
      <c r="R7" s="153">
        <v>1717.9287881569683</v>
      </c>
      <c r="S7" s="153">
        <v>1711.7565889180812</v>
      </c>
      <c r="T7" s="153">
        <v>1701.4695901866025</v>
      </c>
      <c r="U7" s="153">
        <v>1695.297390947715</v>
      </c>
      <c r="V7" s="153">
        <v>1687.0677919625318</v>
      </c>
      <c r="W7" s="153">
        <v>1680.8955927236445</v>
      </c>
      <c r="X7" s="153">
        <v>1672.6659937384618</v>
      </c>
      <c r="AB7" s="12">
        <v>1</v>
      </c>
      <c r="AC7" s="18" t="s">
        <v>29</v>
      </c>
    </row>
    <row r="8" spans="2:31" x14ac:dyDescent="0.2">
      <c r="H8" s="19"/>
      <c r="I8" s="19"/>
      <c r="J8" s="14" t="s">
        <v>32</v>
      </c>
      <c r="K8" s="153" cm="1">
        <f t="array" ref="K8:X8">K18:X18*1000/K12:X12</f>
        <v>621.61003232211897</v>
      </c>
      <c r="L8" s="153">
        <v>630.14295262231735</v>
      </c>
      <c r="M8" s="153">
        <v>638.54246068499094</v>
      </c>
      <c r="N8" s="153">
        <v>646.67623671013973</v>
      </c>
      <c r="O8" s="153">
        <v>653.45438339776365</v>
      </c>
      <c r="P8" s="153">
        <v>658.87690074786292</v>
      </c>
      <c r="Q8" s="153">
        <v>662.94378876043731</v>
      </c>
      <c r="R8" s="153">
        <v>665.65504743548695</v>
      </c>
      <c r="S8" s="153">
        <v>667.01067677301182</v>
      </c>
      <c r="T8" s="153">
        <v>667.01067677301182</v>
      </c>
      <c r="U8" s="153">
        <v>667.01067677301182</v>
      </c>
      <c r="V8" s="153">
        <v>667.01067677301182</v>
      </c>
      <c r="W8" s="153">
        <v>667.01067677301182</v>
      </c>
      <c r="X8" s="153">
        <v>667.01067677301182</v>
      </c>
      <c r="AB8" s="12">
        <v>2</v>
      </c>
      <c r="AC8" s="18" t="s">
        <v>31</v>
      </c>
    </row>
    <row r="9" spans="2:31" x14ac:dyDescent="0.2">
      <c r="H9" s="19"/>
      <c r="I9" s="19"/>
      <c r="J9" s="14" t="s">
        <v>34</v>
      </c>
      <c r="K9" s="152" cm="1">
        <f t="array" ref="K9:X9">K42:X42</f>
        <v>0.14716943277909431</v>
      </c>
      <c r="L9" s="152">
        <v>0.14875134603708054</v>
      </c>
      <c r="M9" s="152">
        <v>0.15012732423144606</v>
      </c>
      <c r="N9" s="152">
        <v>0.15155245264685965</v>
      </c>
      <c r="O9" s="152">
        <v>0.15275712637950078</v>
      </c>
      <c r="P9" s="152">
        <v>0.15366454519028491</v>
      </c>
      <c r="Q9" s="152">
        <v>0.15435150931829672</v>
      </c>
      <c r="R9" s="152">
        <v>0.15476681860414646</v>
      </c>
      <c r="S9" s="152">
        <v>0.15496167320722382</v>
      </c>
      <c r="T9" s="152">
        <v>0.15483367280874921</v>
      </c>
      <c r="U9" s="152">
        <v>0.15475687256966444</v>
      </c>
      <c r="V9" s="152">
        <v>0.15465447225088477</v>
      </c>
      <c r="W9" s="152">
        <v>0.1545776720118</v>
      </c>
      <c r="X9" s="152">
        <v>0.15447527169302028</v>
      </c>
      <c r="AB9" s="12">
        <v>3</v>
      </c>
      <c r="AC9" s="18" t="s">
        <v>33</v>
      </c>
    </row>
    <row r="10" spans="2:31" x14ac:dyDescent="0.2">
      <c r="AB10" s="12">
        <v>4</v>
      </c>
    </row>
    <row r="11" spans="2:31" x14ac:dyDescent="0.2">
      <c r="F11" s="156" t="s">
        <v>286</v>
      </c>
      <c r="AB11" s="12">
        <v>5</v>
      </c>
    </row>
    <row r="12" spans="2:31" x14ac:dyDescent="0.2">
      <c r="J12" s="14" t="s">
        <v>200</v>
      </c>
      <c r="K12" s="33">
        <v>100</v>
      </c>
      <c r="L12" s="33">
        <v>100</v>
      </c>
      <c r="M12" s="33">
        <v>100</v>
      </c>
      <c r="N12" s="33">
        <v>100</v>
      </c>
      <c r="O12" s="33">
        <v>100</v>
      </c>
      <c r="P12" s="33">
        <v>100</v>
      </c>
      <c r="Q12" s="33">
        <v>100</v>
      </c>
      <c r="R12" s="33">
        <v>100</v>
      </c>
      <c r="S12" s="33">
        <v>100</v>
      </c>
      <c r="T12" s="33">
        <v>100</v>
      </c>
      <c r="U12" s="33">
        <v>100</v>
      </c>
      <c r="V12" s="33">
        <v>100</v>
      </c>
      <c r="W12" s="33">
        <v>100</v>
      </c>
      <c r="X12" s="33">
        <v>100</v>
      </c>
      <c r="AB12" s="12">
        <v>6</v>
      </c>
      <c r="AC12" s="18" t="s">
        <v>36</v>
      </c>
    </row>
    <row r="13" spans="2:31" x14ac:dyDescent="0.2">
      <c r="J13" s="14" t="s">
        <v>43</v>
      </c>
      <c r="K13" s="33">
        <f>'Inputs.Gas.Peaker'!$L$51</f>
        <v>25</v>
      </c>
      <c r="L13" s="33">
        <f>'Inputs.Gas.Peaker'!$L$51</f>
        <v>25</v>
      </c>
      <c r="M13" s="33">
        <f>'Inputs.Gas.Peaker'!$L$51</f>
        <v>25</v>
      </c>
      <c r="N13" s="33">
        <f>'Inputs.Gas.Peaker'!$L$51</f>
        <v>25</v>
      </c>
      <c r="O13" s="33">
        <f>'Inputs.Gas.Peaker'!$L$51</f>
        <v>25</v>
      </c>
      <c r="P13" s="33">
        <f>'Inputs.Gas.Peaker'!$L$51</f>
        <v>25</v>
      </c>
      <c r="Q13" s="33">
        <f>'Inputs.Gas.Peaker'!$L$51</f>
        <v>25</v>
      </c>
      <c r="R13" s="33">
        <f>'Inputs.Gas.Peaker'!$L$51</f>
        <v>25</v>
      </c>
      <c r="S13" s="33">
        <f>'Inputs.Gas.Peaker'!$L$51</f>
        <v>25</v>
      </c>
      <c r="T13" s="33">
        <f>'Inputs.Gas.Peaker'!$L$51</f>
        <v>25</v>
      </c>
      <c r="U13" s="33">
        <f>'Inputs.Gas.Peaker'!$L$51</f>
        <v>25</v>
      </c>
      <c r="V13" s="33">
        <f>'Inputs.Gas.Peaker'!$L$51</f>
        <v>25</v>
      </c>
      <c r="W13" s="33">
        <f>'Inputs.Gas.Peaker'!$L$51</f>
        <v>25</v>
      </c>
      <c r="X13" s="33">
        <f>'Inputs.Gas.Peaker'!$L$51</f>
        <v>25</v>
      </c>
      <c r="AB13" s="12">
        <v>7</v>
      </c>
      <c r="AC13" s="18" t="s">
        <v>287</v>
      </c>
    </row>
    <row r="14" spans="2:31" x14ac:dyDescent="0.2">
      <c r="J14" s="14" t="s">
        <v>44</v>
      </c>
      <c r="K14" s="61">
        <v>0.6</v>
      </c>
      <c r="L14" s="61">
        <v>0.6</v>
      </c>
      <c r="M14" s="61">
        <v>0.6</v>
      </c>
      <c r="N14" s="61">
        <v>0.6</v>
      </c>
      <c r="O14" s="61">
        <v>0.6</v>
      </c>
      <c r="P14" s="61">
        <v>0.6</v>
      </c>
      <c r="Q14" s="61">
        <v>0.6</v>
      </c>
      <c r="R14" s="61">
        <v>0.6</v>
      </c>
      <c r="S14" s="61">
        <v>0.6</v>
      </c>
      <c r="T14" s="61">
        <v>0.6</v>
      </c>
      <c r="U14" s="61">
        <v>0.6</v>
      </c>
      <c r="V14" s="61">
        <v>0.6</v>
      </c>
      <c r="W14" s="61">
        <v>0.6</v>
      </c>
      <c r="X14" s="61">
        <v>0.6</v>
      </c>
      <c r="Y14" s="61"/>
      <c r="AB14" s="12">
        <v>8</v>
      </c>
      <c r="AC14" s="18" t="s">
        <v>36</v>
      </c>
    </row>
    <row r="15" spans="2:31" x14ac:dyDescent="0.2">
      <c r="AB15" s="12">
        <v>9</v>
      </c>
    </row>
    <row r="16" spans="2:31" x14ac:dyDescent="0.2">
      <c r="F16" s="156" t="s">
        <v>45</v>
      </c>
      <c r="G16" s="13"/>
      <c r="H16" s="19"/>
      <c r="I16" s="19"/>
      <c r="J16" s="205"/>
      <c r="L16" s="23"/>
      <c r="M16" s="21"/>
      <c r="N16" s="21"/>
      <c r="O16" s="21"/>
      <c r="P16" s="21"/>
      <c r="Q16" s="21"/>
      <c r="R16" s="21"/>
      <c r="S16" s="21"/>
      <c r="T16" s="21"/>
      <c r="U16" s="21"/>
      <c r="V16" s="21"/>
      <c r="W16" s="21"/>
      <c r="X16" s="21"/>
      <c r="Y16" s="21"/>
      <c r="AB16" s="12">
        <v>10</v>
      </c>
      <c r="AD16" s="45"/>
      <c r="AE16" s="51"/>
    </row>
    <row r="17" spans="6:31" x14ac:dyDescent="0.2">
      <c r="F17" s="19"/>
      <c r="G17" s="12"/>
      <c r="H17" s="19"/>
      <c r="I17" s="19"/>
      <c r="J17" s="236" t="s">
        <v>46</v>
      </c>
      <c r="K17" s="169">
        <f>K22</f>
        <v>181.66839759791654</v>
      </c>
      <c r="L17" s="169">
        <f t="shared" ref="L17:X17" si="0">L22</f>
        <v>180.63969772476867</v>
      </c>
      <c r="M17" s="169">
        <f t="shared" si="0"/>
        <v>178.17081802921376</v>
      </c>
      <c r="N17" s="169">
        <f t="shared" si="0"/>
        <v>176.52489823217715</v>
      </c>
      <c r="O17" s="169">
        <f t="shared" si="0"/>
        <v>175.29045838439967</v>
      </c>
      <c r="P17" s="169">
        <f t="shared" si="0"/>
        <v>173.85027856199261</v>
      </c>
      <c r="Q17" s="169">
        <f t="shared" si="0"/>
        <v>172.82157868884474</v>
      </c>
      <c r="R17" s="169">
        <f t="shared" si="0"/>
        <v>171.79287881569684</v>
      </c>
      <c r="S17" s="169">
        <f t="shared" si="0"/>
        <v>171.17565889180813</v>
      </c>
      <c r="T17" s="169">
        <f t="shared" si="0"/>
        <v>170.14695901866025</v>
      </c>
      <c r="U17" s="169">
        <f t="shared" si="0"/>
        <v>169.52973909477151</v>
      </c>
      <c r="V17" s="169">
        <f t="shared" si="0"/>
        <v>168.70677919625319</v>
      </c>
      <c r="W17" s="169">
        <f t="shared" si="0"/>
        <v>168.08955927236445</v>
      </c>
      <c r="X17" s="169">
        <f t="shared" si="0"/>
        <v>167.26659937384616</v>
      </c>
      <c r="Y17" s="152"/>
      <c r="AB17" s="12">
        <v>11</v>
      </c>
      <c r="AC17" s="18" t="s">
        <v>288</v>
      </c>
      <c r="AD17" s="45"/>
      <c r="AE17" s="51"/>
    </row>
    <row r="18" spans="6:31" x14ac:dyDescent="0.2">
      <c r="F18" s="19"/>
      <c r="G18" s="12"/>
      <c r="H18" s="19"/>
      <c r="I18" s="19"/>
      <c r="J18" s="236" t="s">
        <v>48</v>
      </c>
      <c r="K18" s="169">
        <f>SUM(K23:K26)</f>
        <v>62.16100323221189</v>
      </c>
      <c r="L18" s="169">
        <f>SUM(L23:L26)</f>
        <v>63.014295262231734</v>
      </c>
      <c r="M18" s="169">
        <f t="shared" ref="M18:X18" si="1">SUM(M23:M26)</f>
        <v>63.854246068499094</v>
      </c>
      <c r="N18" s="169">
        <f t="shared" si="1"/>
        <v>64.66762367101397</v>
      </c>
      <c r="O18" s="169">
        <f t="shared" si="1"/>
        <v>65.345438339776365</v>
      </c>
      <c r="P18" s="169">
        <f t="shared" si="1"/>
        <v>65.887690074786292</v>
      </c>
      <c r="Q18" s="169">
        <f t="shared" si="1"/>
        <v>66.294378876043737</v>
      </c>
      <c r="R18" s="169">
        <f t="shared" si="1"/>
        <v>66.565504743548686</v>
      </c>
      <c r="S18" s="169">
        <f t="shared" si="1"/>
        <v>66.701067677301182</v>
      </c>
      <c r="T18" s="169">
        <f t="shared" si="1"/>
        <v>66.701067677301182</v>
      </c>
      <c r="U18" s="169">
        <f t="shared" si="1"/>
        <v>66.701067677301182</v>
      </c>
      <c r="V18" s="169">
        <f t="shared" si="1"/>
        <v>66.701067677301182</v>
      </c>
      <c r="W18" s="169">
        <f t="shared" si="1"/>
        <v>66.701067677301182</v>
      </c>
      <c r="X18" s="169">
        <f t="shared" si="1"/>
        <v>66.701067677301182</v>
      </c>
      <c r="Y18" s="152"/>
      <c r="AB18" s="12">
        <v>12</v>
      </c>
      <c r="AC18" s="18" t="s">
        <v>289</v>
      </c>
      <c r="AD18" s="45"/>
      <c r="AE18" s="51"/>
    </row>
    <row r="19" spans="6:31" x14ac:dyDescent="0.2">
      <c r="AB19" s="12">
        <v>13</v>
      </c>
    </row>
    <row r="20" spans="6:31" x14ac:dyDescent="0.2">
      <c r="F20" s="156" t="s">
        <v>50</v>
      </c>
      <c r="AB20" s="12">
        <v>14</v>
      </c>
    </row>
    <row r="21" spans="6:31" x14ac:dyDescent="0.2">
      <c r="G21" s="32" t="s">
        <v>290</v>
      </c>
      <c r="L21" s="237"/>
      <c r="M21" s="237"/>
      <c r="N21" s="237"/>
      <c r="O21" s="237"/>
      <c r="P21" s="237"/>
      <c r="Q21" s="237"/>
      <c r="R21" s="237"/>
      <c r="S21" s="237"/>
      <c r="T21" s="237"/>
      <c r="U21" s="237"/>
      <c r="V21" s="237"/>
      <c r="W21" s="237"/>
      <c r="X21" s="237"/>
      <c r="AB21" s="12">
        <v>15</v>
      </c>
    </row>
    <row r="22" spans="6:31" x14ac:dyDescent="0.2">
      <c r="J22" s="14" t="s">
        <v>291</v>
      </c>
      <c r="K22" s="151" cm="1">
        <f t="array" ref="K22:X22">_xlfn.ANCHORARRAY(K29)*K12:X12*1000/1000000</f>
        <v>181.66839759791654</v>
      </c>
      <c r="L22" s="151">
        <v>180.63969772476867</v>
      </c>
      <c r="M22" s="151">
        <v>178.17081802921376</v>
      </c>
      <c r="N22" s="151">
        <v>176.52489823217715</v>
      </c>
      <c r="O22" s="151">
        <v>175.29045838439967</v>
      </c>
      <c r="P22" s="151">
        <v>173.85027856199261</v>
      </c>
      <c r="Q22" s="151">
        <v>172.82157868884474</v>
      </c>
      <c r="R22" s="151">
        <v>171.79287881569684</v>
      </c>
      <c r="S22" s="151">
        <v>171.17565889180813</v>
      </c>
      <c r="T22" s="151">
        <v>170.14695901866025</v>
      </c>
      <c r="U22" s="151">
        <v>169.52973909477151</v>
      </c>
      <c r="V22" s="151">
        <v>168.70677919625319</v>
      </c>
      <c r="W22" s="151">
        <v>168.08955927236445</v>
      </c>
      <c r="X22" s="151">
        <v>167.26659937384616</v>
      </c>
      <c r="AB22" s="12">
        <v>16</v>
      </c>
      <c r="AC22" s="18" t="s">
        <v>292</v>
      </c>
    </row>
    <row r="23" spans="6:31" x14ac:dyDescent="0.2">
      <c r="J23" s="14" t="s">
        <v>293</v>
      </c>
      <c r="K23" s="151">
        <f t="shared" ref="K23:X23" si="2">K30*K12*1000/1000000</f>
        <v>3.9946377849511183</v>
      </c>
      <c r="L23" s="151">
        <f t="shared" si="2"/>
        <v>3.9946377849511183</v>
      </c>
      <c r="M23" s="151">
        <f t="shared" si="2"/>
        <v>3.9946377849511183</v>
      </c>
      <c r="N23" s="151">
        <f t="shared" si="2"/>
        <v>3.9946377849511183</v>
      </c>
      <c r="O23" s="151">
        <f t="shared" si="2"/>
        <v>3.9946377849511183</v>
      </c>
      <c r="P23" s="151">
        <f t="shared" si="2"/>
        <v>3.9946377849511183</v>
      </c>
      <c r="Q23" s="151">
        <f t="shared" si="2"/>
        <v>3.9946377849511183</v>
      </c>
      <c r="R23" s="151">
        <f t="shared" si="2"/>
        <v>3.9946377849511183</v>
      </c>
      <c r="S23" s="151">
        <f t="shared" si="2"/>
        <v>3.9946377849511183</v>
      </c>
      <c r="T23" s="151">
        <f t="shared" si="2"/>
        <v>3.9946377849511183</v>
      </c>
      <c r="U23" s="151">
        <f t="shared" si="2"/>
        <v>3.9946377849511183</v>
      </c>
      <c r="V23" s="151">
        <f t="shared" si="2"/>
        <v>3.9946377849511183</v>
      </c>
      <c r="W23" s="151">
        <f t="shared" si="2"/>
        <v>3.9946377849511183</v>
      </c>
      <c r="X23" s="151">
        <f t="shared" si="2"/>
        <v>3.9946377849511183</v>
      </c>
      <c r="AB23" s="12">
        <v>17</v>
      </c>
      <c r="AC23" s="18" t="s">
        <v>292</v>
      </c>
    </row>
    <row r="24" spans="6:31" x14ac:dyDescent="0.2">
      <c r="J24" s="14" t="s">
        <v>294</v>
      </c>
      <c r="K24" s="151">
        <f>K35*K31/1000000</f>
        <v>4.0599726565068632</v>
      </c>
      <c r="L24" s="151">
        <f t="shared" ref="L24:X24" si="3">L35*L31/1000000</f>
        <v>4.0599726565068632</v>
      </c>
      <c r="M24" s="151">
        <f t="shared" si="3"/>
        <v>4.0599726565068632</v>
      </c>
      <c r="N24" s="151">
        <f t="shared" si="3"/>
        <v>4.0599726565068632</v>
      </c>
      <c r="O24" s="151">
        <f t="shared" si="3"/>
        <v>4.0599726565068632</v>
      </c>
      <c r="P24" s="151">
        <f t="shared" si="3"/>
        <v>4.0599726565068632</v>
      </c>
      <c r="Q24" s="151">
        <f t="shared" si="3"/>
        <v>4.0599726565068632</v>
      </c>
      <c r="R24" s="151">
        <f t="shared" si="3"/>
        <v>4.0599726565068632</v>
      </c>
      <c r="S24" s="151">
        <f t="shared" si="3"/>
        <v>4.0599726565068632</v>
      </c>
      <c r="T24" s="151">
        <f t="shared" si="3"/>
        <v>4.0599726565068632</v>
      </c>
      <c r="U24" s="151">
        <f t="shared" si="3"/>
        <v>4.0599726565068632</v>
      </c>
      <c r="V24" s="151">
        <f t="shared" si="3"/>
        <v>4.0599726565068632</v>
      </c>
      <c r="W24" s="151">
        <f t="shared" si="3"/>
        <v>4.0599726565068632</v>
      </c>
      <c r="X24" s="151">
        <f t="shared" si="3"/>
        <v>4.0599726565068632</v>
      </c>
      <c r="AB24" s="12">
        <v>18</v>
      </c>
      <c r="AC24" s="18" t="s">
        <v>292</v>
      </c>
    </row>
    <row r="25" spans="6:31" x14ac:dyDescent="0.2">
      <c r="J25" s="14" t="s">
        <v>295</v>
      </c>
      <c r="K25" s="151">
        <f>K35*K33/1000000</f>
        <v>12.89526092999999</v>
      </c>
      <c r="L25" s="151">
        <f>L35*L33/1000000</f>
        <v>12.664049489999995</v>
      </c>
      <c r="M25" s="151">
        <f t="shared" ref="M25:X25" si="4">M35*M33/1000000</f>
        <v>12.55505975999999</v>
      </c>
      <c r="N25" s="151">
        <f t="shared" si="4"/>
        <v>12.55505975999999</v>
      </c>
      <c r="O25" s="151">
        <f t="shared" si="4"/>
        <v>12.55505975999999</v>
      </c>
      <c r="P25" s="151">
        <f t="shared" si="4"/>
        <v>12.555059759999992</v>
      </c>
      <c r="Q25" s="151">
        <f t="shared" si="4"/>
        <v>12.555059759999992</v>
      </c>
      <c r="R25" s="151">
        <f t="shared" si="4"/>
        <v>12.555059759999992</v>
      </c>
      <c r="S25" s="151">
        <f t="shared" si="4"/>
        <v>12.555059759999992</v>
      </c>
      <c r="T25" s="151">
        <f t="shared" si="4"/>
        <v>12.555059759999992</v>
      </c>
      <c r="U25" s="151">
        <f t="shared" si="4"/>
        <v>12.555059759999992</v>
      </c>
      <c r="V25" s="151">
        <f t="shared" si="4"/>
        <v>12.555059759999992</v>
      </c>
      <c r="W25" s="151">
        <f t="shared" si="4"/>
        <v>12.555059759999992</v>
      </c>
      <c r="X25" s="151">
        <f t="shared" si="4"/>
        <v>12.555059759999992</v>
      </c>
      <c r="AB25" s="12">
        <v>19</v>
      </c>
      <c r="AC25" s="18" t="s">
        <v>292</v>
      </c>
    </row>
    <row r="26" spans="6:31" x14ac:dyDescent="0.2">
      <c r="J26" s="14" t="s">
        <v>296</v>
      </c>
      <c r="K26" s="271">
        <f t="shared" ref="K26:X26" si="5">K35*gas.peaker.carbon.emissions_ton_per_MWh*K36/1000000</f>
        <v>41.211131860753916</v>
      </c>
      <c r="L26" s="271">
        <f t="shared" si="5"/>
        <v>42.295635330773756</v>
      </c>
      <c r="M26" s="271">
        <f t="shared" si="5"/>
        <v>43.244575867041121</v>
      </c>
      <c r="N26" s="271">
        <f t="shared" si="5"/>
        <v>44.057953469555997</v>
      </c>
      <c r="O26" s="271">
        <f t="shared" si="5"/>
        <v>44.735768138318399</v>
      </c>
      <c r="P26" s="271">
        <f t="shared" si="5"/>
        <v>45.278019873328319</v>
      </c>
      <c r="Q26" s="271">
        <f t="shared" si="5"/>
        <v>45.684708674585757</v>
      </c>
      <c r="R26" s="271">
        <f t="shared" si="5"/>
        <v>45.955834542090713</v>
      </c>
      <c r="S26" s="271">
        <f t="shared" si="5"/>
        <v>46.091397475843202</v>
      </c>
      <c r="T26" s="271">
        <f t="shared" si="5"/>
        <v>46.091397475843202</v>
      </c>
      <c r="U26" s="271">
        <f t="shared" si="5"/>
        <v>46.091397475843202</v>
      </c>
      <c r="V26" s="271">
        <f t="shared" si="5"/>
        <v>46.091397475843202</v>
      </c>
      <c r="W26" s="271">
        <f t="shared" si="5"/>
        <v>46.091397475843202</v>
      </c>
      <c r="X26" s="271">
        <f t="shared" si="5"/>
        <v>46.091397475843202</v>
      </c>
      <c r="AB26" s="12">
        <v>20</v>
      </c>
      <c r="AC26" s="18" t="s">
        <v>292</v>
      </c>
    </row>
    <row r="27" spans="6:31" x14ac:dyDescent="0.2">
      <c r="AB27" s="12">
        <v>21</v>
      </c>
    </row>
    <row r="28" spans="6:31" x14ac:dyDescent="0.2">
      <c r="F28" s="156" t="s">
        <v>81</v>
      </c>
      <c r="AB28" s="12">
        <v>22</v>
      </c>
    </row>
    <row r="29" spans="6:31" x14ac:dyDescent="0.2">
      <c r="J29" s="14" t="s">
        <v>297</v>
      </c>
      <c r="K29" s="155" cm="1">
        <f t="array" ref="K29:X29">Inputs.CCGT!forecast_ccgt_costs_CA</f>
        <v>1816.6839759791656</v>
      </c>
      <c r="L29" s="155">
        <v>1806.3969772476867</v>
      </c>
      <c r="M29" s="155">
        <v>1781.7081802921375</v>
      </c>
      <c r="N29" s="155">
        <v>1765.2489823217713</v>
      </c>
      <c r="O29" s="155">
        <v>1752.9045838439968</v>
      </c>
      <c r="P29" s="155">
        <v>1738.5027856199263</v>
      </c>
      <c r="Q29" s="155">
        <v>1728.2157868884474</v>
      </c>
      <c r="R29" s="155">
        <v>1717.9287881569685</v>
      </c>
      <c r="S29" s="155">
        <v>1711.7565889180812</v>
      </c>
      <c r="T29" s="155">
        <v>1701.4695901866023</v>
      </c>
      <c r="U29" s="155">
        <v>1695.297390947715</v>
      </c>
      <c r="V29" s="155">
        <v>1687.0677919625318</v>
      </c>
      <c r="W29" s="155">
        <v>1680.8955927236448</v>
      </c>
      <c r="X29" s="155">
        <v>1672.6659937384616</v>
      </c>
      <c r="AB29" s="12">
        <v>23</v>
      </c>
      <c r="AC29" s="18" t="s">
        <v>287</v>
      </c>
    </row>
    <row r="30" spans="6:31" x14ac:dyDescent="0.2">
      <c r="J30" s="14" t="s">
        <v>298</v>
      </c>
      <c r="K30" s="155" cm="1">
        <f t="array" ref="K30:X30">forecast_gas.peaker_fixed_om_costs_CA</f>
        <v>39.94637784951118</v>
      </c>
      <c r="L30" s="155">
        <v>39.94637784951118</v>
      </c>
      <c r="M30" s="155">
        <v>39.94637784951118</v>
      </c>
      <c r="N30" s="155">
        <v>39.94637784951118</v>
      </c>
      <c r="O30" s="155">
        <v>39.94637784951118</v>
      </c>
      <c r="P30" s="155">
        <v>39.94637784951118</v>
      </c>
      <c r="Q30" s="155">
        <v>39.94637784951118</v>
      </c>
      <c r="R30" s="155">
        <v>39.94637784951118</v>
      </c>
      <c r="S30" s="155">
        <v>39.94637784951118</v>
      </c>
      <c r="T30" s="155">
        <v>39.94637784951118</v>
      </c>
      <c r="U30" s="155">
        <v>39.94637784951118</v>
      </c>
      <c r="V30" s="155">
        <v>39.94637784951118</v>
      </c>
      <c r="W30" s="155">
        <v>39.94637784951118</v>
      </c>
      <c r="X30" s="155">
        <v>39.94637784951118</v>
      </c>
      <c r="AB30" s="12">
        <v>24</v>
      </c>
      <c r="AC30" s="18" t="s">
        <v>287</v>
      </c>
    </row>
    <row r="31" spans="6:31" x14ac:dyDescent="0.2">
      <c r="J31" s="14" t="s">
        <v>299</v>
      </c>
      <c r="K31" s="155" cm="1">
        <f t="array" ref="K31:X31">forecast_gas.peaker_var_om_costs_CA</f>
        <v>7.7244533038562855</v>
      </c>
      <c r="L31" s="155">
        <v>7.7244533038562855</v>
      </c>
      <c r="M31" s="155">
        <v>7.7244533038562855</v>
      </c>
      <c r="N31" s="155">
        <v>7.7244533038562855</v>
      </c>
      <c r="O31" s="155">
        <v>7.7244533038562855</v>
      </c>
      <c r="P31" s="155">
        <v>7.7244533038562855</v>
      </c>
      <c r="Q31" s="155">
        <v>7.7244533038562855</v>
      </c>
      <c r="R31" s="155">
        <v>7.7244533038562855</v>
      </c>
      <c r="S31" s="155">
        <v>7.7244533038562855</v>
      </c>
      <c r="T31" s="155">
        <v>7.7244533038562855</v>
      </c>
      <c r="U31" s="155">
        <v>7.7244533038562855</v>
      </c>
      <c r="V31" s="155">
        <v>7.7244533038562855</v>
      </c>
      <c r="W31" s="155">
        <v>7.7244533038562855</v>
      </c>
      <c r="X31" s="155">
        <v>7.7244533038562855</v>
      </c>
      <c r="AB31" s="12">
        <v>25</v>
      </c>
      <c r="AC31" s="18" t="s">
        <v>287</v>
      </c>
    </row>
    <row r="32" spans="6:31" x14ac:dyDescent="0.2">
      <c r="J32" s="14" t="s">
        <v>300</v>
      </c>
      <c r="K32" s="155" cm="1">
        <f t="array" ref="K32:X32">'Inputs.Gas.Peaker'!N56:AA56</f>
        <v>3.8576041666666638</v>
      </c>
      <c r="L32" s="155">
        <v>3.7884374999999979</v>
      </c>
      <c r="M32" s="155">
        <v>3.7558333333333307</v>
      </c>
      <c r="N32" s="155">
        <v>3.7558333333333307</v>
      </c>
      <c r="O32" s="155">
        <v>3.7558333333333307</v>
      </c>
      <c r="P32" s="155">
        <v>3.7558333333333311</v>
      </c>
      <c r="Q32" s="155">
        <v>3.7558333333333311</v>
      </c>
      <c r="R32" s="155">
        <v>3.7558333333333311</v>
      </c>
      <c r="S32" s="155">
        <v>3.7558333333333311</v>
      </c>
      <c r="T32" s="155">
        <v>3.7558333333333311</v>
      </c>
      <c r="U32" s="155">
        <v>3.7558333333333316</v>
      </c>
      <c r="V32" s="155">
        <v>3.7558333333333316</v>
      </c>
      <c r="W32" s="155">
        <v>3.7558333333333316</v>
      </c>
      <c r="X32" s="155">
        <v>3.7558333333333316</v>
      </c>
      <c r="AB32" s="12">
        <v>26</v>
      </c>
      <c r="AC32" s="18" t="s">
        <v>287</v>
      </c>
    </row>
    <row r="33" spans="9:29" x14ac:dyDescent="0.2">
      <c r="J33" s="14" t="s">
        <v>301</v>
      </c>
      <c r="K33" s="155" cm="1">
        <f t="array" ref="K33:X33">Inputs.CCGT!N39:AA39</f>
        <v>24.534362499999983</v>
      </c>
      <c r="L33" s="155">
        <v>24.094462499999988</v>
      </c>
      <c r="M33" s="155">
        <v>23.887099999999982</v>
      </c>
      <c r="N33" s="155">
        <v>23.887099999999982</v>
      </c>
      <c r="O33" s="155">
        <v>23.887099999999982</v>
      </c>
      <c r="P33" s="155">
        <v>23.887099999999986</v>
      </c>
      <c r="Q33" s="155">
        <v>23.887099999999986</v>
      </c>
      <c r="R33" s="155">
        <v>23.887099999999986</v>
      </c>
      <c r="S33" s="155">
        <v>23.887099999999986</v>
      </c>
      <c r="T33" s="155">
        <v>23.887099999999986</v>
      </c>
      <c r="U33" s="155">
        <v>23.887099999999986</v>
      </c>
      <c r="V33" s="155">
        <v>23.887099999999986</v>
      </c>
      <c r="W33" s="155">
        <v>23.887099999999986</v>
      </c>
      <c r="X33" s="155">
        <v>23.887099999999986</v>
      </c>
      <c r="AB33" s="12">
        <v>27</v>
      </c>
      <c r="AC33" s="18" t="s">
        <v>287</v>
      </c>
    </row>
    <row r="34" spans="9:29" x14ac:dyDescent="0.2">
      <c r="J34" s="14" t="s">
        <v>302</v>
      </c>
      <c r="K34" s="238">
        <f>K14</f>
        <v>0.6</v>
      </c>
      <c r="L34" s="238">
        <f t="shared" ref="L34:X34" si="6">L14</f>
        <v>0.6</v>
      </c>
      <c r="M34" s="238">
        <f t="shared" si="6"/>
        <v>0.6</v>
      </c>
      <c r="N34" s="238">
        <f t="shared" si="6"/>
        <v>0.6</v>
      </c>
      <c r="O34" s="238">
        <f t="shared" si="6"/>
        <v>0.6</v>
      </c>
      <c r="P34" s="238">
        <f t="shared" si="6"/>
        <v>0.6</v>
      </c>
      <c r="Q34" s="238">
        <f t="shared" si="6"/>
        <v>0.6</v>
      </c>
      <c r="R34" s="238">
        <f t="shared" si="6"/>
        <v>0.6</v>
      </c>
      <c r="S34" s="238">
        <f t="shared" si="6"/>
        <v>0.6</v>
      </c>
      <c r="T34" s="238">
        <f t="shared" si="6"/>
        <v>0.6</v>
      </c>
      <c r="U34" s="238">
        <f t="shared" si="6"/>
        <v>0.6</v>
      </c>
      <c r="V34" s="238">
        <f t="shared" si="6"/>
        <v>0.6</v>
      </c>
      <c r="W34" s="238">
        <f t="shared" si="6"/>
        <v>0.6</v>
      </c>
      <c r="X34" s="238">
        <f t="shared" si="6"/>
        <v>0.6</v>
      </c>
      <c r="AB34" s="12">
        <v>28</v>
      </c>
      <c r="AC34" s="18" t="s">
        <v>36</v>
      </c>
    </row>
    <row r="35" spans="9:29" x14ac:dyDescent="0.2">
      <c r="J35" s="14" t="s">
        <v>303</v>
      </c>
      <c r="K35" s="239">
        <f t="shared" ref="K35:X35" si="7">K34*8760*K12</f>
        <v>525600</v>
      </c>
      <c r="L35" s="239">
        <f t="shared" si="7"/>
        <v>525600</v>
      </c>
      <c r="M35" s="239">
        <f t="shared" si="7"/>
        <v>525600</v>
      </c>
      <c r="N35" s="239">
        <f t="shared" si="7"/>
        <v>525600</v>
      </c>
      <c r="O35" s="239">
        <f t="shared" si="7"/>
        <v>525600</v>
      </c>
      <c r="P35" s="239">
        <f t="shared" si="7"/>
        <v>525600</v>
      </c>
      <c r="Q35" s="239">
        <f t="shared" si="7"/>
        <v>525600</v>
      </c>
      <c r="R35" s="239">
        <f t="shared" si="7"/>
        <v>525600</v>
      </c>
      <c r="S35" s="239">
        <f t="shared" si="7"/>
        <v>525600</v>
      </c>
      <c r="T35" s="239">
        <f t="shared" si="7"/>
        <v>525600</v>
      </c>
      <c r="U35" s="239">
        <f t="shared" si="7"/>
        <v>525600</v>
      </c>
      <c r="V35" s="239">
        <f t="shared" si="7"/>
        <v>525600</v>
      </c>
      <c r="W35" s="239">
        <f t="shared" si="7"/>
        <v>525600</v>
      </c>
      <c r="X35" s="239">
        <f t="shared" si="7"/>
        <v>525600</v>
      </c>
      <c r="AB35" s="12">
        <v>29</v>
      </c>
      <c r="AC35" s="18" t="s">
        <v>292</v>
      </c>
    </row>
    <row r="36" spans="9:29" x14ac:dyDescent="0.2">
      <c r="J36" s="14" t="s">
        <v>25</v>
      </c>
      <c r="K36" s="155" cm="1">
        <f t="array" ref="K36:X36">forecast.carbon.tax</f>
        <v>152</v>
      </c>
      <c r="L36" s="155">
        <v>156</v>
      </c>
      <c r="M36" s="155">
        <v>159.5</v>
      </c>
      <c r="N36" s="155">
        <v>162.5</v>
      </c>
      <c r="O36" s="155">
        <v>165</v>
      </c>
      <c r="P36" s="155">
        <v>167</v>
      </c>
      <c r="Q36" s="155">
        <v>168.5</v>
      </c>
      <c r="R36" s="155">
        <v>169.5</v>
      </c>
      <c r="S36" s="155">
        <v>170</v>
      </c>
      <c r="T36" s="155">
        <v>170</v>
      </c>
      <c r="U36" s="155">
        <v>170</v>
      </c>
      <c r="V36" s="155">
        <v>170</v>
      </c>
      <c r="W36" s="155">
        <v>170</v>
      </c>
      <c r="X36" s="155">
        <v>170</v>
      </c>
      <c r="AB36" s="12">
        <v>30</v>
      </c>
      <c r="AC36" s="18" t="s">
        <v>287</v>
      </c>
    </row>
    <row r="37" spans="9:29" x14ac:dyDescent="0.2">
      <c r="K37" s="169"/>
      <c r="L37" s="169"/>
      <c r="M37" s="169"/>
      <c r="N37" s="169"/>
      <c r="O37" s="169"/>
      <c r="P37" s="169"/>
      <c r="Q37" s="169"/>
      <c r="R37" s="169"/>
      <c r="S37" s="169"/>
      <c r="T37" s="169"/>
      <c r="U37" s="169"/>
      <c r="V37" s="169"/>
      <c r="W37" s="169"/>
      <c r="X37" s="169"/>
      <c r="AB37" s="12">
        <v>31</v>
      </c>
    </row>
    <row r="38" spans="9:29" x14ac:dyDescent="0.2">
      <c r="I38" s="19" t="s">
        <v>100</v>
      </c>
      <c r="J38" s="20"/>
      <c r="K38" s="21"/>
      <c r="L38" s="21"/>
      <c r="M38" s="21"/>
      <c r="N38" s="21"/>
      <c r="O38" s="21"/>
      <c r="P38" s="21"/>
      <c r="Q38" s="21"/>
      <c r="R38" s="21"/>
      <c r="S38" s="21"/>
      <c r="T38" s="21"/>
      <c r="U38" s="21"/>
      <c r="V38" s="21"/>
      <c r="W38" s="21"/>
      <c r="X38" s="21"/>
      <c r="AB38" s="12">
        <v>32</v>
      </c>
    </row>
    <row r="39" spans="9:29" x14ac:dyDescent="0.2">
      <c r="I39" s="19"/>
      <c r="J39" s="160" t="s">
        <v>101</v>
      </c>
      <c r="K39" s="204">
        <f>((project.interest_rate*(1+project.interest_rate)^project.debt_period)/(((1+project.interest_rate)^project.debt_period)-1))</f>
        <v>0.17913501805901069</v>
      </c>
      <c r="L39" s="204">
        <f t="shared" ref="L39:X39" si="8">((project.interest_rate*(1+project.interest_rate)^project.debt_period)/(((1+project.interest_rate)^project.debt_period)-1))</f>
        <v>0.17913501805901069</v>
      </c>
      <c r="M39" s="204">
        <f t="shared" si="8"/>
        <v>0.17913501805901069</v>
      </c>
      <c r="N39" s="204">
        <f t="shared" si="8"/>
        <v>0.17913501805901069</v>
      </c>
      <c r="O39" s="204">
        <f t="shared" si="8"/>
        <v>0.17913501805901069</v>
      </c>
      <c r="P39" s="204">
        <f t="shared" si="8"/>
        <v>0.17913501805901069</v>
      </c>
      <c r="Q39" s="204">
        <f t="shared" si="8"/>
        <v>0.17913501805901069</v>
      </c>
      <c r="R39" s="204">
        <f t="shared" si="8"/>
        <v>0.17913501805901069</v>
      </c>
      <c r="S39" s="204">
        <f t="shared" si="8"/>
        <v>0.17913501805901069</v>
      </c>
      <c r="T39" s="204">
        <f t="shared" si="8"/>
        <v>0.17913501805901069</v>
      </c>
      <c r="U39" s="204">
        <f t="shared" si="8"/>
        <v>0.17913501805901069</v>
      </c>
      <c r="V39" s="204">
        <f t="shared" si="8"/>
        <v>0.17913501805901069</v>
      </c>
      <c r="W39" s="204">
        <f t="shared" si="8"/>
        <v>0.17913501805901069</v>
      </c>
      <c r="X39" s="204">
        <f t="shared" si="8"/>
        <v>0.17913501805901069</v>
      </c>
      <c r="AB39" s="12">
        <v>33</v>
      </c>
      <c r="AC39" s="18" t="s">
        <v>102</v>
      </c>
    </row>
    <row r="40" spans="9:29" x14ac:dyDescent="0.2">
      <c r="I40" s="19"/>
      <c r="J40" s="160" t="s">
        <v>103</v>
      </c>
      <c r="K40" s="159">
        <f t="shared" ref="K40:X40" si="9">NPV(jurisdiction.discount_rate,_xlfn.MAKEARRAY(1,project.debt_period,_xlfn.LAMBDA(_xlpm.r,_xlpm.c,K$39*K$7*(1-project.downpayment))))+NPV(jurisdiction.discount_rate,_xlfn.MAKEARRAY(1,K13,_xlfn.LAMBDA(_xlpm.r,_xlpm.c,K$8)))+K$7*project.downpayment</f>
        <v>12788.464666980432</v>
      </c>
      <c r="L40" s="159">
        <f t="shared" si="9"/>
        <v>12925.926920003796</v>
      </c>
      <c r="M40" s="159">
        <f t="shared" si="9"/>
        <v>13045.494198268651</v>
      </c>
      <c r="N40" s="159">
        <f t="shared" si="9"/>
        <v>13169.332444039313</v>
      </c>
      <c r="O40" s="159">
        <f t="shared" si="9"/>
        <v>13274.014015301773</v>
      </c>
      <c r="P40" s="159">
        <f t="shared" si="9"/>
        <v>13352.865263014912</v>
      </c>
      <c r="Q40" s="159">
        <f t="shared" si="9"/>
        <v>13412.559836219858</v>
      </c>
      <c r="R40" s="159">
        <f t="shared" si="9"/>
        <v>13448.648635555861</v>
      </c>
      <c r="S40" s="159">
        <f t="shared" si="9"/>
        <v>13465.580760383669</v>
      </c>
      <c r="T40" s="159">
        <f t="shared" si="9"/>
        <v>13454.458011981771</v>
      </c>
      <c r="U40" s="159">
        <f t="shared" si="9"/>
        <v>13447.784362940631</v>
      </c>
      <c r="V40" s="159">
        <f t="shared" si="9"/>
        <v>13438.886164219113</v>
      </c>
      <c r="W40" s="159">
        <f t="shared" si="9"/>
        <v>13432.212515177975</v>
      </c>
      <c r="X40" s="159">
        <f t="shared" si="9"/>
        <v>13423.314316456454</v>
      </c>
      <c r="AB40" s="12">
        <v>34</v>
      </c>
      <c r="AC40" s="18" t="s">
        <v>104</v>
      </c>
    </row>
    <row r="41" spans="9:29" x14ac:dyDescent="0.2">
      <c r="I41" s="19"/>
      <c r="J41" s="160" t="s">
        <v>105</v>
      </c>
      <c r="K41" s="273" cm="1">
        <f t="array" ref="K41">NPV(jurisdiction.discount_rate,_xlfn.MAKEARRAY(1,K$13,_xlfn.LAMBDA(_xlpm.r,_xlpm.c,(0.995^(_xlpm.c-1)))))*K$14*8760</f>
        <v>86896.201374753524</v>
      </c>
      <c r="L41" s="273" cm="1">
        <f t="array" ref="L41">NPV(jurisdiction.discount_rate,_xlfn.MAKEARRAY(1,L$13,_xlfn.LAMBDA(_xlpm.r,_xlpm.c,(0.995^(_xlpm.c-1)))))*L$14*8760</f>
        <v>86896.201374753524</v>
      </c>
      <c r="M41" s="273" cm="1">
        <f t="array" ref="M41">NPV(jurisdiction.discount_rate,_xlfn.MAKEARRAY(1,M$13,_xlfn.LAMBDA(_xlpm.r,_xlpm.c,(0.995^(_xlpm.c-1)))))*M$14*8760</f>
        <v>86896.201374753524</v>
      </c>
      <c r="N41" s="273" cm="1">
        <f t="array" ref="N41">NPV(jurisdiction.discount_rate,_xlfn.MAKEARRAY(1,N$13,_xlfn.LAMBDA(_xlpm.r,_xlpm.c,(0.995^(_xlpm.c-1)))))*N$14*8760</f>
        <v>86896.201374753524</v>
      </c>
      <c r="O41" s="273" cm="1">
        <f t="array" ref="O41">NPV(jurisdiction.discount_rate,_xlfn.MAKEARRAY(1,O$13,_xlfn.LAMBDA(_xlpm.r,_xlpm.c,(0.995^(_xlpm.c-1)))))*O$14*8760</f>
        <v>86896.201374753524</v>
      </c>
      <c r="P41" s="273" cm="1">
        <f t="array" ref="P41">NPV(jurisdiction.discount_rate,_xlfn.MAKEARRAY(1,P$13,_xlfn.LAMBDA(_xlpm.r,_xlpm.c,(0.995^(_xlpm.c-1)))))*P$14*8760</f>
        <v>86896.201374753524</v>
      </c>
      <c r="Q41" s="273" cm="1">
        <f t="array" ref="Q41">NPV(jurisdiction.discount_rate,_xlfn.MAKEARRAY(1,Q$13,_xlfn.LAMBDA(_xlpm.r,_xlpm.c,(0.995^(_xlpm.c-1)))))*Q$14*8760</f>
        <v>86896.201374753524</v>
      </c>
      <c r="R41" s="273" cm="1">
        <f t="array" ref="R41">NPV(jurisdiction.discount_rate,_xlfn.MAKEARRAY(1,R$13,_xlfn.LAMBDA(_xlpm.r,_xlpm.c,(0.995^(_xlpm.c-1)))))*R$14*8760</f>
        <v>86896.201374753524</v>
      </c>
      <c r="S41" s="273" cm="1">
        <f t="array" ref="S41">NPV(jurisdiction.discount_rate,_xlfn.MAKEARRAY(1,S$13,_xlfn.LAMBDA(_xlpm.r,_xlpm.c,(0.995^(_xlpm.c-1)))))*S$14*8760</f>
        <v>86896.201374753524</v>
      </c>
      <c r="T41" s="273" cm="1">
        <f t="array" ref="T41">NPV(jurisdiction.discount_rate,_xlfn.MAKEARRAY(1,T$13,_xlfn.LAMBDA(_xlpm.r,_xlpm.c,(0.995^(_xlpm.c-1)))))*T$14*8760</f>
        <v>86896.201374753524</v>
      </c>
      <c r="U41" s="273" cm="1">
        <f t="array" ref="U41">NPV(jurisdiction.discount_rate,_xlfn.MAKEARRAY(1,U$13,_xlfn.LAMBDA(_xlpm.r,_xlpm.c,(0.995^(_xlpm.c-1)))))*U$14*8760</f>
        <v>86896.201374753524</v>
      </c>
      <c r="V41" s="273" cm="1">
        <f t="array" ref="V41">NPV(jurisdiction.discount_rate,_xlfn.MAKEARRAY(1,V$13,_xlfn.LAMBDA(_xlpm.r,_xlpm.c,(0.995^(_xlpm.c-1)))))*V$14*8760</f>
        <v>86896.201374753524</v>
      </c>
      <c r="W41" s="273" cm="1">
        <f t="array" ref="W41">NPV(jurisdiction.discount_rate,_xlfn.MAKEARRAY(1,W$13,_xlfn.LAMBDA(_xlpm.r,_xlpm.c,(0.995^(_xlpm.c-1)))))*W$14*8760</f>
        <v>86896.201374753524</v>
      </c>
      <c r="X41" s="273" cm="1">
        <f t="array" ref="X41">NPV(jurisdiction.discount_rate,_xlfn.MAKEARRAY(1,X$13,_xlfn.LAMBDA(_xlpm.r,_xlpm.c,(0.995^(_xlpm.c-1)))))*X$14*8760</f>
        <v>86896.201374753524</v>
      </c>
      <c r="AB41" s="12">
        <v>35</v>
      </c>
      <c r="AC41" s="18" t="s">
        <v>106</v>
      </c>
    </row>
    <row r="42" spans="9:29" x14ac:dyDescent="0.2">
      <c r="I42" s="19"/>
      <c r="J42" s="160" t="s">
        <v>107</v>
      </c>
      <c r="K42" s="287">
        <f>K40/K41</f>
        <v>0.14716943277909431</v>
      </c>
      <c r="L42" s="287">
        <f t="shared" ref="L42:X42" si="10">L40/L41</f>
        <v>0.14875134603708054</v>
      </c>
      <c r="M42" s="287">
        <f t="shared" si="10"/>
        <v>0.15012732423144606</v>
      </c>
      <c r="N42" s="287">
        <f t="shared" si="10"/>
        <v>0.15155245264685965</v>
      </c>
      <c r="O42" s="287">
        <f t="shared" si="10"/>
        <v>0.15275712637950078</v>
      </c>
      <c r="P42" s="287">
        <f t="shared" si="10"/>
        <v>0.15366454519028491</v>
      </c>
      <c r="Q42" s="287">
        <f t="shared" si="10"/>
        <v>0.15435150931829672</v>
      </c>
      <c r="R42" s="287">
        <f t="shared" si="10"/>
        <v>0.15476681860414646</v>
      </c>
      <c r="S42" s="287">
        <f t="shared" si="10"/>
        <v>0.15496167320722382</v>
      </c>
      <c r="T42" s="287">
        <f t="shared" si="10"/>
        <v>0.15483367280874921</v>
      </c>
      <c r="U42" s="287">
        <f t="shared" si="10"/>
        <v>0.15475687256966444</v>
      </c>
      <c r="V42" s="287">
        <f t="shared" si="10"/>
        <v>0.15465447225088477</v>
      </c>
      <c r="W42" s="287">
        <f t="shared" si="10"/>
        <v>0.1545776720118</v>
      </c>
      <c r="X42" s="287">
        <f t="shared" si="10"/>
        <v>0.15447527169302028</v>
      </c>
      <c r="AB42" s="12">
        <v>36</v>
      </c>
      <c r="AC42" s="18" t="s">
        <v>108</v>
      </c>
    </row>
    <row r="43" spans="9:29" x14ac:dyDescent="0.2">
      <c r="AB43" s="12"/>
    </row>
    <row r="44" spans="9:29" x14ac:dyDescent="0.2">
      <c r="AB44" s="12"/>
    </row>
    <row r="45" spans="9:29" x14ac:dyDescent="0.2">
      <c r="AB45" s="12"/>
    </row>
    <row r="46" spans="9:29" x14ac:dyDescent="0.2">
      <c r="AB46" s="12"/>
    </row>
    <row r="47" spans="9:29" x14ac:dyDescent="0.2">
      <c r="AB47" s="12"/>
    </row>
    <row r="48" spans="9:29" x14ac:dyDescent="0.2">
      <c r="AB48" s="12"/>
    </row>
    <row r="49" spans="28:28" x14ac:dyDescent="0.2">
      <c r="AB49" s="12"/>
    </row>
    <row r="50" spans="28:28" x14ac:dyDescent="0.2">
      <c r="AB50" s="12"/>
    </row>
    <row r="51" spans="28:28" x14ac:dyDescent="0.2">
      <c r="AB51" s="12"/>
    </row>
    <row r="52" spans="28:28" x14ac:dyDescent="0.2">
      <c r="AB52" s="12"/>
    </row>
    <row r="53" spans="28:28" x14ac:dyDescent="0.2">
      <c r="AB53" s="12"/>
    </row>
    <row r="54" spans="28:28" x14ac:dyDescent="0.2">
      <c r="AB54" s="12"/>
    </row>
    <row r="55" spans="28:28" x14ac:dyDescent="0.2">
      <c r="AB55" s="12"/>
    </row>
    <row r="56" spans="28:28" x14ac:dyDescent="0.2">
      <c r="AB56" s="12"/>
    </row>
    <row r="57" spans="28:28" x14ac:dyDescent="0.2">
      <c r="AB57" s="12"/>
    </row>
    <row r="58" spans="28:28" x14ac:dyDescent="0.2">
      <c r="AB58" s="12"/>
    </row>
    <row r="59" spans="28:28" x14ac:dyDescent="0.2">
      <c r="AB59" s="12"/>
    </row>
    <row r="60" spans="28:28" x14ac:dyDescent="0.2">
      <c r="AB60" s="12"/>
    </row>
    <row r="61" spans="28:28" x14ac:dyDescent="0.2">
      <c r="AB61" s="12"/>
    </row>
    <row r="62" spans="28:28" x14ac:dyDescent="0.2">
      <c r="AB62" s="12"/>
    </row>
    <row r="63" spans="28:28" x14ac:dyDescent="0.2">
      <c r="AB63" s="12"/>
    </row>
    <row r="64" spans="28:28" x14ac:dyDescent="0.2">
      <c r="AB64" s="12"/>
    </row>
    <row r="65" spans="28:28" x14ac:dyDescent="0.2">
      <c r="AB65" s="12"/>
    </row>
    <row r="66" spans="28:28" x14ac:dyDescent="0.2">
      <c r="AB66" s="12"/>
    </row>
    <row r="67" spans="28:28" x14ac:dyDescent="0.2">
      <c r="AB67" s="12"/>
    </row>
    <row r="68" spans="28:28" x14ac:dyDescent="0.2">
      <c r="AB68" s="12"/>
    </row>
    <row r="69" spans="28:28" x14ac:dyDescent="0.2">
      <c r="AB69" s="12"/>
    </row>
    <row r="70" spans="28:28" x14ac:dyDescent="0.2">
      <c r="AB70" s="12"/>
    </row>
    <row r="71" spans="28:28" x14ac:dyDescent="0.2">
      <c r="AB71" s="12"/>
    </row>
    <row r="72" spans="28:28" x14ac:dyDescent="0.2">
      <c r="AB72" s="12"/>
    </row>
  </sheetData>
  <mergeCells count="1">
    <mergeCell ref="B3:E3"/>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B0946-225B-4729-A0A0-AAD856D0716E}">
  <dimension ref="B1:AE72"/>
  <sheetViews>
    <sheetView topLeftCell="A15" workbookViewId="0">
      <selection activeCell="E30" sqref="E30"/>
    </sheetView>
  </sheetViews>
  <sheetFormatPr baseColWidth="10" defaultColWidth="8.83203125" defaultRowHeight="16" x14ac:dyDescent="0.2"/>
  <cols>
    <col min="1" max="1" width="2.6640625" customWidth="1"/>
    <col min="2" max="2" width="2.6640625" style="3" customWidth="1"/>
    <col min="3" max="3" width="2.6640625" style="4" customWidth="1"/>
    <col min="4" max="4" width="2.6640625" style="2" customWidth="1"/>
    <col min="5" max="5" width="20.6640625" customWidth="1"/>
    <col min="6" max="6" width="2.6640625" style="156" customWidth="1"/>
    <col min="7" max="9" width="2.6640625" style="32" customWidth="1"/>
    <col min="10" max="10" width="35.5" style="14" customWidth="1"/>
    <col min="11" max="11" width="14.83203125" style="32" bestFit="1" customWidth="1"/>
    <col min="12" max="24" width="11.33203125" style="32" bestFit="1" customWidth="1"/>
    <col min="25" max="28" width="2.6640625" customWidth="1"/>
  </cols>
  <sheetData>
    <row r="1" spans="2:31" ht="21" x14ac:dyDescent="0.25">
      <c r="B1" s="5" t="str">
        <f>"Gas Peaker Cost Forecast for " &amp;selected.location</f>
        <v>Gas Peaker Cost Forecast for Ontario</v>
      </c>
    </row>
    <row r="2" spans="2:31" ht="19" x14ac:dyDescent="0.25">
      <c r="B2" s="1" t="str">
        <f>_Cover!B14</f>
        <v>Renewable Cost Forecast</v>
      </c>
    </row>
    <row r="3" spans="2:31" ht="15" x14ac:dyDescent="0.2">
      <c r="B3" s="331" t="str">
        <f ca="1">HYPERLINK("#"&amp;CELL("address", _Contents!B3 ), "Go to Table of Contents")</f>
        <v>Go to Table of Contents</v>
      </c>
      <c r="C3" s="331"/>
      <c r="D3" s="331"/>
      <c r="E3" s="331"/>
    </row>
    <row r="4" spans="2:31" x14ac:dyDescent="0.2">
      <c r="K4" s="22">
        <v>2022</v>
      </c>
      <c r="L4" s="22">
        <v>2023</v>
      </c>
      <c r="M4" s="22">
        <v>2024</v>
      </c>
      <c r="N4" s="22">
        <v>2025</v>
      </c>
      <c r="O4" s="22">
        <v>2026</v>
      </c>
      <c r="P4" s="22">
        <v>2027</v>
      </c>
      <c r="Q4" s="22">
        <v>2028</v>
      </c>
      <c r="R4" s="22">
        <v>2029</v>
      </c>
      <c r="S4" s="22">
        <v>2030</v>
      </c>
      <c r="T4" s="22">
        <v>2031</v>
      </c>
      <c r="U4" s="22">
        <v>2032</v>
      </c>
      <c r="V4" s="22">
        <v>2033</v>
      </c>
      <c r="W4" s="22">
        <v>2034</v>
      </c>
      <c r="X4" s="22">
        <v>2035</v>
      </c>
      <c r="AC4" s="10" t="s">
        <v>27</v>
      </c>
    </row>
    <row r="6" spans="2:31" x14ac:dyDescent="0.2">
      <c r="F6" s="156" t="str">
        <f>"Results - "&amp;selected.location&amp;" Real 2022$CA"</f>
        <v>Results - Ontario Real 2022$CA</v>
      </c>
      <c r="H6" s="19"/>
      <c r="I6" s="19"/>
    </row>
    <row r="7" spans="2:31" x14ac:dyDescent="0.2">
      <c r="H7" s="19"/>
      <c r="I7" s="19"/>
      <c r="J7" s="14" t="s">
        <v>30</v>
      </c>
      <c r="K7" s="153" cm="1">
        <f t="array" ref="K7:X7">K17:X17*1000/K12:X12</f>
        <v>1571.5777714786063</v>
      </c>
      <c r="L7" s="153">
        <v>1557.563702178797</v>
      </c>
      <c r="M7" s="153">
        <v>1521.5275239792877</v>
      </c>
      <c r="N7" s="153">
        <v>1493.4993853796695</v>
      </c>
      <c r="O7" s="153">
        <v>1477.4833061798868</v>
      </c>
      <c r="P7" s="153">
        <v>1457.4632071801595</v>
      </c>
      <c r="Q7" s="153">
        <v>1445.4511477803235</v>
      </c>
      <c r="R7" s="153">
        <v>1433.4390883804867</v>
      </c>
      <c r="S7" s="153">
        <v>1425.4310487805963</v>
      </c>
      <c r="T7" s="153">
        <v>1415.4209992807318</v>
      </c>
      <c r="U7" s="153">
        <v>1407.4129596808409</v>
      </c>
      <c r="V7" s="153">
        <v>1399.4049200809502</v>
      </c>
      <c r="W7" s="153">
        <v>1393.3988903810321</v>
      </c>
      <c r="X7" s="153">
        <v>1385.3908507811409</v>
      </c>
      <c r="AB7" s="12">
        <v>1</v>
      </c>
      <c r="AC7" s="18" t="s">
        <v>29</v>
      </c>
    </row>
    <row r="8" spans="2:31" x14ac:dyDescent="0.2">
      <c r="H8" s="19"/>
      <c r="I8" s="19"/>
      <c r="J8" s="14" t="s">
        <v>32</v>
      </c>
      <c r="K8" s="153" cm="1">
        <f t="array" ref="K8:X8">K18:X18*1000/K12:X12</f>
        <v>91.218124645135575</v>
      </c>
      <c r="L8" s="153">
        <v>90.334722445135597</v>
      </c>
      <c r="M8" s="153">
        <v>89.918299420135597</v>
      </c>
      <c r="N8" s="153">
        <v>89.918299420135597</v>
      </c>
      <c r="O8" s="153">
        <v>89.918299420135597</v>
      </c>
      <c r="P8" s="153">
        <v>89.918299420135597</v>
      </c>
      <c r="Q8" s="153">
        <v>89.918299420135597</v>
      </c>
      <c r="R8" s="153">
        <v>89.918299420135597</v>
      </c>
      <c r="S8" s="153">
        <v>89.918299420135597</v>
      </c>
      <c r="T8" s="153">
        <v>89.918299420135597</v>
      </c>
      <c r="U8" s="153">
        <v>89.918299420135597</v>
      </c>
      <c r="V8" s="153">
        <v>89.918299420135597</v>
      </c>
      <c r="W8" s="153">
        <v>89.918299420135597</v>
      </c>
      <c r="X8" s="153">
        <v>89.918299420135597</v>
      </c>
      <c r="AB8" s="12">
        <v>2</v>
      </c>
      <c r="AC8" s="18" t="s">
        <v>31</v>
      </c>
    </row>
    <row r="9" spans="2:31" x14ac:dyDescent="0.2">
      <c r="H9" s="19"/>
      <c r="I9" s="19"/>
      <c r="J9" s="14" t="s">
        <v>34</v>
      </c>
      <c r="K9" s="152" cm="1">
        <f t="array" ref="K9:X9">K42:X42</f>
        <v>0.15133699987813648</v>
      </c>
      <c r="L9" s="152">
        <v>0.14993139498588967</v>
      </c>
      <c r="M9" s="152">
        <v>0.14780402412487587</v>
      </c>
      <c r="N9" s="152">
        <v>0.14640901553086316</v>
      </c>
      <c r="O9" s="152">
        <v>0.14561186776285581</v>
      </c>
      <c r="P9" s="152">
        <v>0.14461543305284674</v>
      </c>
      <c r="Q9" s="152">
        <v>0.14401757222684131</v>
      </c>
      <c r="R9" s="152">
        <v>0.14341971140083584</v>
      </c>
      <c r="S9" s="152">
        <v>0.14302113751683221</v>
      </c>
      <c r="T9" s="152">
        <v>0.14252292016182763</v>
      </c>
      <c r="U9" s="152">
        <v>0.142124346277824</v>
      </c>
      <c r="V9" s="152">
        <v>0.14172577239382034</v>
      </c>
      <c r="W9" s="152">
        <v>0.14142684198081762</v>
      </c>
      <c r="X9" s="152">
        <v>0.14102826809681399</v>
      </c>
      <c r="AB9" s="12">
        <v>3</v>
      </c>
      <c r="AC9" s="18" t="s">
        <v>33</v>
      </c>
    </row>
    <row r="10" spans="2:31" x14ac:dyDescent="0.2">
      <c r="AB10" s="12">
        <v>4</v>
      </c>
    </row>
    <row r="11" spans="2:31" x14ac:dyDescent="0.2">
      <c r="F11" s="156" t="s">
        <v>286</v>
      </c>
      <c r="AB11" s="12">
        <v>5</v>
      </c>
    </row>
    <row r="12" spans="2:31" x14ac:dyDescent="0.2">
      <c r="J12" s="14" t="s">
        <v>200</v>
      </c>
      <c r="K12" s="33">
        <v>100</v>
      </c>
      <c r="L12" s="33">
        <v>100</v>
      </c>
      <c r="M12" s="33">
        <v>100</v>
      </c>
      <c r="N12" s="33">
        <v>100</v>
      </c>
      <c r="O12" s="33">
        <v>100</v>
      </c>
      <c r="P12" s="33">
        <v>100</v>
      </c>
      <c r="Q12" s="33">
        <v>100</v>
      </c>
      <c r="R12" s="33">
        <v>100</v>
      </c>
      <c r="S12" s="33">
        <v>100</v>
      </c>
      <c r="T12" s="33">
        <v>100</v>
      </c>
      <c r="U12" s="33">
        <v>100</v>
      </c>
      <c r="V12" s="33">
        <v>100</v>
      </c>
      <c r="W12" s="33">
        <v>100</v>
      </c>
      <c r="X12" s="33">
        <v>100</v>
      </c>
      <c r="AB12" s="12">
        <v>6</v>
      </c>
      <c r="AC12" s="18" t="s">
        <v>36</v>
      </c>
    </row>
    <row r="13" spans="2:31" x14ac:dyDescent="0.2">
      <c r="J13" s="14" t="s">
        <v>43</v>
      </c>
      <c r="K13" s="33">
        <f>'Inputs.Gas.Peaker'!$L$51</f>
        <v>25</v>
      </c>
      <c r="L13" s="33">
        <f>'Inputs.Gas.Peaker'!$L$51</f>
        <v>25</v>
      </c>
      <c r="M13" s="33">
        <f>'Inputs.Gas.Peaker'!$L$51</f>
        <v>25</v>
      </c>
      <c r="N13" s="33">
        <f>'Inputs.Gas.Peaker'!$L$51</f>
        <v>25</v>
      </c>
      <c r="O13" s="33">
        <f>'Inputs.Gas.Peaker'!$L$51</f>
        <v>25</v>
      </c>
      <c r="P13" s="33">
        <f>'Inputs.Gas.Peaker'!$L$51</f>
        <v>25</v>
      </c>
      <c r="Q13" s="33">
        <f>'Inputs.Gas.Peaker'!$L$51</f>
        <v>25</v>
      </c>
      <c r="R13" s="33">
        <f>'Inputs.Gas.Peaker'!$L$51</f>
        <v>25</v>
      </c>
      <c r="S13" s="33">
        <f>'Inputs.Gas.Peaker'!$L$51</f>
        <v>25</v>
      </c>
      <c r="T13" s="33">
        <f>'Inputs.Gas.Peaker'!$L$51</f>
        <v>25</v>
      </c>
      <c r="U13" s="33">
        <f>'Inputs.Gas.Peaker'!$L$51</f>
        <v>25</v>
      </c>
      <c r="V13" s="33">
        <f>'Inputs.Gas.Peaker'!$L$51</f>
        <v>25</v>
      </c>
      <c r="W13" s="33">
        <f>'Inputs.Gas.Peaker'!$L$51</f>
        <v>25</v>
      </c>
      <c r="X13" s="33">
        <f>'Inputs.Gas.Peaker'!$L$51</f>
        <v>25</v>
      </c>
      <c r="AB13" s="12">
        <v>7</v>
      </c>
      <c r="AC13" s="18" t="s">
        <v>287</v>
      </c>
    </row>
    <row r="14" spans="2:31" x14ac:dyDescent="0.2">
      <c r="J14" s="14" t="s">
        <v>44</v>
      </c>
      <c r="K14" s="61">
        <v>0.15</v>
      </c>
      <c r="L14" s="61">
        <v>0.15</v>
      </c>
      <c r="M14" s="61">
        <v>0.15</v>
      </c>
      <c r="N14" s="61">
        <v>0.15</v>
      </c>
      <c r="O14" s="61">
        <v>0.15</v>
      </c>
      <c r="P14" s="61">
        <v>0.15</v>
      </c>
      <c r="Q14" s="61">
        <v>0.15</v>
      </c>
      <c r="R14" s="61">
        <v>0.15</v>
      </c>
      <c r="S14" s="61">
        <v>0.15</v>
      </c>
      <c r="T14" s="61">
        <v>0.15</v>
      </c>
      <c r="U14" s="61">
        <v>0.15</v>
      </c>
      <c r="V14" s="61">
        <v>0.15</v>
      </c>
      <c r="W14" s="61">
        <v>0.15</v>
      </c>
      <c r="X14" s="61">
        <v>0.15</v>
      </c>
      <c r="Y14" s="61"/>
      <c r="AB14" s="12">
        <v>8</v>
      </c>
      <c r="AC14" s="18" t="s">
        <v>36</v>
      </c>
    </row>
    <row r="15" spans="2:31" x14ac:dyDescent="0.2">
      <c r="AB15" s="12">
        <v>9</v>
      </c>
    </row>
    <row r="16" spans="2:31" x14ac:dyDescent="0.2">
      <c r="F16" s="156" t="s">
        <v>45</v>
      </c>
      <c r="G16" s="13"/>
      <c r="H16" s="19"/>
      <c r="I16" s="19"/>
      <c r="J16" s="205"/>
      <c r="L16" s="23"/>
      <c r="M16" s="21"/>
      <c r="N16" s="21"/>
      <c r="O16" s="21"/>
      <c r="P16" s="21"/>
      <c r="Q16" s="21"/>
      <c r="R16" s="21"/>
      <c r="S16" s="21"/>
      <c r="T16" s="21"/>
      <c r="U16" s="21"/>
      <c r="V16" s="21"/>
      <c r="W16" s="21"/>
      <c r="X16" s="21"/>
      <c r="Y16" s="21"/>
      <c r="AB16" s="12">
        <v>10</v>
      </c>
      <c r="AD16" s="45"/>
      <c r="AE16" s="51"/>
    </row>
    <row r="17" spans="6:31" x14ac:dyDescent="0.2">
      <c r="F17" s="19"/>
      <c r="G17" s="12"/>
      <c r="H17" s="19"/>
      <c r="I17" s="19"/>
      <c r="J17" s="236" t="s">
        <v>46</v>
      </c>
      <c r="K17" s="169">
        <f>K22</f>
        <v>157.15777714786066</v>
      </c>
      <c r="L17" s="169">
        <f t="shared" ref="L17:X17" si="0">L22</f>
        <v>155.75637021787972</v>
      </c>
      <c r="M17" s="169">
        <f t="shared" si="0"/>
        <v>152.15275239792877</v>
      </c>
      <c r="N17" s="169">
        <f t="shared" si="0"/>
        <v>149.34993853796695</v>
      </c>
      <c r="O17" s="169">
        <f t="shared" si="0"/>
        <v>147.7483306179887</v>
      </c>
      <c r="P17" s="169">
        <f t="shared" si="0"/>
        <v>145.74632071801597</v>
      </c>
      <c r="Q17" s="169">
        <f t="shared" si="0"/>
        <v>144.54511477803234</v>
      </c>
      <c r="R17" s="169">
        <f t="shared" si="0"/>
        <v>143.34390883804866</v>
      </c>
      <c r="S17" s="169">
        <f t="shared" si="0"/>
        <v>142.54310487805961</v>
      </c>
      <c r="T17" s="169">
        <f t="shared" si="0"/>
        <v>141.54209992807318</v>
      </c>
      <c r="U17" s="169">
        <f t="shared" si="0"/>
        <v>140.7412959680841</v>
      </c>
      <c r="V17" s="169">
        <f t="shared" si="0"/>
        <v>139.94049200809502</v>
      </c>
      <c r="W17" s="169">
        <f t="shared" si="0"/>
        <v>139.33988903810319</v>
      </c>
      <c r="X17" s="169">
        <f t="shared" si="0"/>
        <v>138.53908507811408</v>
      </c>
      <c r="Y17" s="152"/>
      <c r="AB17" s="12">
        <v>11</v>
      </c>
      <c r="AC17" s="18" t="s">
        <v>288</v>
      </c>
      <c r="AD17" s="45"/>
      <c r="AE17" s="51"/>
    </row>
    <row r="18" spans="6:31" x14ac:dyDescent="0.2">
      <c r="F18" s="19"/>
      <c r="G18" s="12"/>
      <c r="H18" s="19"/>
      <c r="I18" s="19"/>
      <c r="J18" s="236" t="s">
        <v>48</v>
      </c>
      <c r="K18" s="169">
        <f>SUM(K23:K26)</f>
        <v>9.1218124645135585</v>
      </c>
      <c r="L18" s="169">
        <f t="shared" ref="L18:X18" si="1">SUM(L23:L26)</f>
        <v>9.0334722445135593</v>
      </c>
      <c r="M18" s="169">
        <f t="shared" si="1"/>
        <v>8.9918299420135597</v>
      </c>
      <c r="N18" s="169">
        <f t="shared" si="1"/>
        <v>8.9918299420135597</v>
      </c>
      <c r="O18" s="169">
        <f t="shared" si="1"/>
        <v>8.9918299420135597</v>
      </c>
      <c r="P18" s="169">
        <f t="shared" si="1"/>
        <v>8.9918299420135597</v>
      </c>
      <c r="Q18" s="169">
        <f t="shared" si="1"/>
        <v>8.9918299420135597</v>
      </c>
      <c r="R18" s="169">
        <f t="shared" si="1"/>
        <v>8.9918299420135597</v>
      </c>
      <c r="S18" s="169">
        <f t="shared" si="1"/>
        <v>8.9918299420135597</v>
      </c>
      <c r="T18" s="169">
        <f t="shared" si="1"/>
        <v>8.9918299420135597</v>
      </c>
      <c r="U18" s="169">
        <f t="shared" si="1"/>
        <v>8.9918299420135597</v>
      </c>
      <c r="V18" s="169">
        <f t="shared" si="1"/>
        <v>8.9918299420135597</v>
      </c>
      <c r="W18" s="169">
        <f t="shared" si="1"/>
        <v>8.9918299420135597</v>
      </c>
      <c r="X18" s="169">
        <f t="shared" si="1"/>
        <v>8.9918299420135597</v>
      </c>
      <c r="Y18" s="152"/>
      <c r="AB18" s="12">
        <v>12</v>
      </c>
      <c r="AC18" s="18" t="s">
        <v>289</v>
      </c>
      <c r="AD18" s="45"/>
      <c r="AE18" s="51"/>
    </row>
    <row r="19" spans="6:31" x14ac:dyDescent="0.2">
      <c r="AB19" s="12">
        <v>13</v>
      </c>
    </row>
    <row r="20" spans="6:31" x14ac:dyDescent="0.2">
      <c r="F20" s="156" t="s">
        <v>50</v>
      </c>
      <c r="AB20" s="12">
        <v>14</v>
      </c>
    </row>
    <row r="21" spans="6:31" x14ac:dyDescent="0.2">
      <c r="G21" s="32" t="s">
        <v>290</v>
      </c>
      <c r="L21" s="237"/>
      <c r="M21" s="237"/>
      <c r="N21" s="237"/>
      <c r="O21" s="237"/>
      <c r="P21" s="237"/>
      <c r="Q21" s="237"/>
      <c r="R21" s="237"/>
      <c r="S21" s="237"/>
      <c r="T21" s="237"/>
      <c r="U21" s="237"/>
      <c r="V21" s="237"/>
      <c r="W21" s="237"/>
      <c r="X21" s="237"/>
      <c r="AB21" s="12">
        <v>15</v>
      </c>
    </row>
    <row r="22" spans="6:31" x14ac:dyDescent="0.2">
      <c r="J22" s="14" t="s">
        <v>291</v>
      </c>
      <c r="K22" s="151" cm="1">
        <f t="array" ref="K22:X22">_xlfn.ANCHORARRAY(K29)*K12:X12*1000/1000000</f>
        <v>157.15777714786066</v>
      </c>
      <c r="L22" s="151">
        <v>155.75637021787972</v>
      </c>
      <c r="M22" s="151">
        <v>152.15275239792877</v>
      </c>
      <c r="N22" s="151">
        <v>149.34993853796695</v>
      </c>
      <c r="O22" s="151">
        <v>147.7483306179887</v>
      </c>
      <c r="P22" s="151">
        <v>145.74632071801597</v>
      </c>
      <c r="Q22" s="151">
        <v>144.54511477803234</v>
      </c>
      <c r="R22" s="151">
        <v>143.34390883804866</v>
      </c>
      <c r="S22" s="151">
        <v>142.54310487805961</v>
      </c>
      <c r="T22" s="151">
        <v>141.54209992807318</v>
      </c>
      <c r="U22" s="151">
        <v>140.7412959680841</v>
      </c>
      <c r="V22" s="151">
        <v>139.94049200809502</v>
      </c>
      <c r="W22" s="151">
        <v>139.33988903810319</v>
      </c>
      <c r="X22" s="151">
        <v>138.53908507811408</v>
      </c>
      <c r="AB22" s="12">
        <v>16</v>
      </c>
      <c r="AC22" s="18" t="s">
        <v>292</v>
      </c>
    </row>
    <row r="23" spans="6:31" x14ac:dyDescent="0.2">
      <c r="J23" s="14" t="s">
        <v>293</v>
      </c>
      <c r="K23" s="151">
        <f t="shared" ref="K23:X23" si="2">K30*K12*1000/1000000</f>
        <v>3.8349153629482746</v>
      </c>
      <c r="L23" s="151">
        <f t="shared" si="2"/>
        <v>3.8349153629482746</v>
      </c>
      <c r="M23" s="151">
        <f t="shared" si="2"/>
        <v>3.8349153629482746</v>
      </c>
      <c r="N23" s="151">
        <f t="shared" si="2"/>
        <v>3.8349153629482746</v>
      </c>
      <c r="O23" s="151">
        <f t="shared" si="2"/>
        <v>3.8349153629482746</v>
      </c>
      <c r="P23" s="151">
        <f t="shared" si="2"/>
        <v>3.8349153629482746</v>
      </c>
      <c r="Q23" s="151">
        <f t="shared" si="2"/>
        <v>3.8349153629482746</v>
      </c>
      <c r="R23" s="151">
        <f t="shared" si="2"/>
        <v>3.8349153629482746</v>
      </c>
      <c r="S23" s="151">
        <f t="shared" si="2"/>
        <v>3.8349153629482746</v>
      </c>
      <c r="T23" s="151">
        <f t="shared" si="2"/>
        <v>3.8349153629482746</v>
      </c>
      <c r="U23" s="151">
        <f t="shared" si="2"/>
        <v>3.8349153629482746</v>
      </c>
      <c r="V23" s="151">
        <f t="shared" si="2"/>
        <v>3.8349153629482746</v>
      </c>
      <c r="W23" s="151">
        <f t="shared" si="2"/>
        <v>3.8349153629482746</v>
      </c>
      <c r="X23" s="151">
        <f t="shared" si="2"/>
        <v>3.8349153629482746</v>
      </c>
      <c r="AB23" s="12">
        <v>17</v>
      </c>
      <c r="AC23" s="18" t="s">
        <v>292</v>
      </c>
    </row>
    <row r="24" spans="6:31" x14ac:dyDescent="0.2">
      <c r="J24" s="14" t="s">
        <v>294</v>
      </c>
      <c r="K24" s="151">
        <f>K35*K31/1000000</f>
        <v>0.35993419906528812</v>
      </c>
      <c r="L24" s="151">
        <f t="shared" ref="L24:X24" si="3">L35*L31/1000000</f>
        <v>0.35993419906528812</v>
      </c>
      <c r="M24" s="151">
        <f t="shared" si="3"/>
        <v>0.35993419906528812</v>
      </c>
      <c r="N24" s="151">
        <f t="shared" si="3"/>
        <v>0.35993419906528812</v>
      </c>
      <c r="O24" s="151">
        <f t="shared" si="3"/>
        <v>0.35993419906528812</v>
      </c>
      <c r="P24" s="151">
        <f t="shared" si="3"/>
        <v>0.35993419906528812</v>
      </c>
      <c r="Q24" s="151">
        <f t="shared" si="3"/>
        <v>0.35993419906528812</v>
      </c>
      <c r="R24" s="151">
        <f t="shared" si="3"/>
        <v>0.35993419906528812</v>
      </c>
      <c r="S24" s="151">
        <f t="shared" si="3"/>
        <v>0.35993419906528812</v>
      </c>
      <c r="T24" s="151">
        <f t="shared" si="3"/>
        <v>0.35993419906528812</v>
      </c>
      <c r="U24" s="151">
        <f t="shared" si="3"/>
        <v>0.35993419906528812</v>
      </c>
      <c r="V24" s="151">
        <f t="shared" si="3"/>
        <v>0.35993419906528812</v>
      </c>
      <c r="W24" s="151">
        <f t="shared" si="3"/>
        <v>0.35993419906528812</v>
      </c>
      <c r="X24" s="151">
        <f t="shared" si="3"/>
        <v>0.35993419906528812</v>
      </c>
      <c r="AB24" s="12">
        <v>18</v>
      </c>
      <c r="AC24" s="18" t="s">
        <v>292</v>
      </c>
    </row>
    <row r="25" spans="6:31" x14ac:dyDescent="0.2">
      <c r="J25" s="14" t="s">
        <v>295</v>
      </c>
      <c r="K25" s="151">
        <f>K35*K33/1000000</f>
        <v>4.9269629024999961</v>
      </c>
      <c r="L25" s="151">
        <f t="shared" ref="L25:X25" si="4">L35*L33/1000000</f>
        <v>4.8386226824999969</v>
      </c>
      <c r="M25" s="151">
        <f t="shared" si="4"/>
        <v>4.7969803799999964</v>
      </c>
      <c r="N25" s="151">
        <f t="shared" si="4"/>
        <v>4.7969803799999964</v>
      </c>
      <c r="O25" s="151">
        <f t="shared" si="4"/>
        <v>4.7969803799999964</v>
      </c>
      <c r="P25" s="151">
        <f t="shared" si="4"/>
        <v>4.7969803799999964</v>
      </c>
      <c r="Q25" s="151">
        <f t="shared" si="4"/>
        <v>4.7969803799999964</v>
      </c>
      <c r="R25" s="151">
        <f t="shared" si="4"/>
        <v>4.7969803799999964</v>
      </c>
      <c r="S25" s="151">
        <f t="shared" si="4"/>
        <v>4.7969803799999964</v>
      </c>
      <c r="T25" s="151">
        <f t="shared" si="4"/>
        <v>4.7969803799999964</v>
      </c>
      <c r="U25" s="151">
        <f t="shared" si="4"/>
        <v>4.7969803799999973</v>
      </c>
      <c r="V25" s="151">
        <f t="shared" si="4"/>
        <v>4.7969803799999973</v>
      </c>
      <c r="W25" s="151">
        <f t="shared" si="4"/>
        <v>4.7969803799999973</v>
      </c>
      <c r="X25" s="151">
        <f t="shared" si="4"/>
        <v>4.7969803799999973</v>
      </c>
      <c r="AB25" s="12">
        <v>19</v>
      </c>
      <c r="AC25" s="18" t="s">
        <v>292</v>
      </c>
    </row>
    <row r="26" spans="6:31" x14ac:dyDescent="0.2">
      <c r="J26" s="14" t="s">
        <v>296</v>
      </c>
      <c r="K26" s="271">
        <f t="shared" ref="K26:X26" si="5">K35*gas.peaker.carbon.emissions_ton_per_MWh*K36/1000000</f>
        <v>0</v>
      </c>
      <c r="L26" s="271">
        <f t="shared" si="5"/>
        <v>0</v>
      </c>
      <c r="M26" s="271">
        <f t="shared" si="5"/>
        <v>0</v>
      </c>
      <c r="N26" s="271">
        <f t="shared" si="5"/>
        <v>0</v>
      </c>
      <c r="O26" s="271">
        <f t="shared" si="5"/>
        <v>0</v>
      </c>
      <c r="P26" s="271">
        <f t="shared" si="5"/>
        <v>0</v>
      </c>
      <c r="Q26" s="271">
        <f t="shared" si="5"/>
        <v>0</v>
      </c>
      <c r="R26" s="271">
        <f t="shared" si="5"/>
        <v>0</v>
      </c>
      <c r="S26" s="271">
        <f t="shared" si="5"/>
        <v>0</v>
      </c>
      <c r="T26" s="271">
        <f t="shared" si="5"/>
        <v>0</v>
      </c>
      <c r="U26" s="271">
        <f t="shared" si="5"/>
        <v>0</v>
      </c>
      <c r="V26" s="271">
        <f t="shared" si="5"/>
        <v>0</v>
      </c>
      <c r="W26" s="271">
        <f t="shared" si="5"/>
        <v>0</v>
      </c>
      <c r="X26" s="271">
        <f t="shared" si="5"/>
        <v>0</v>
      </c>
      <c r="AB26" s="12">
        <v>20</v>
      </c>
      <c r="AC26" s="18" t="s">
        <v>292</v>
      </c>
    </row>
    <row r="27" spans="6:31" x14ac:dyDescent="0.2">
      <c r="AB27" s="12">
        <v>21</v>
      </c>
    </row>
    <row r="28" spans="6:31" x14ac:dyDescent="0.2">
      <c r="F28" s="156" t="s">
        <v>81</v>
      </c>
      <c r="AB28" s="12">
        <v>22</v>
      </c>
    </row>
    <row r="29" spans="6:31" x14ac:dyDescent="0.2">
      <c r="J29" s="14" t="s">
        <v>297</v>
      </c>
      <c r="K29" s="155" cm="1">
        <f t="array" ref="K29:X29">forecast_gas.peaker_costs_CA</f>
        <v>1571.5777714786063</v>
      </c>
      <c r="L29" s="155">
        <v>1557.563702178797</v>
      </c>
      <c r="M29" s="155">
        <v>1521.5275239792877</v>
      </c>
      <c r="N29" s="155">
        <v>1493.4993853796693</v>
      </c>
      <c r="O29" s="155">
        <v>1477.4833061798872</v>
      </c>
      <c r="P29" s="155">
        <v>1457.4632071801598</v>
      </c>
      <c r="Q29" s="155">
        <v>1445.4511477803233</v>
      </c>
      <c r="R29" s="155">
        <v>1433.4390883804867</v>
      </c>
      <c r="S29" s="155">
        <v>1425.4310487805958</v>
      </c>
      <c r="T29" s="155">
        <v>1415.4209992807321</v>
      </c>
      <c r="U29" s="155">
        <v>1407.4129596808411</v>
      </c>
      <c r="V29" s="155">
        <v>1399.4049200809502</v>
      </c>
      <c r="W29" s="155">
        <v>1393.3988903810318</v>
      </c>
      <c r="X29" s="155">
        <v>1385.3908507811409</v>
      </c>
      <c r="AB29" s="12">
        <v>23</v>
      </c>
      <c r="AC29" s="18" t="s">
        <v>287</v>
      </c>
    </row>
    <row r="30" spans="6:31" x14ac:dyDescent="0.2">
      <c r="J30" s="14" t="s">
        <v>298</v>
      </c>
      <c r="K30" s="155" cm="1">
        <f t="array" ref="K30:X30">Inputs.CCGT!forecast_ccgt_fixed_om_costs_CA</f>
        <v>38.34915362948275</v>
      </c>
      <c r="L30" s="155">
        <v>38.34915362948275</v>
      </c>
      <c r="M30" s="155">
        <v>38.34915362948275</v>
      </c>
      <c r="N30" s="155">
        <v>38.34915362948275</v>
      </c>
      <c r="O30" s="155">
        <v>38.34915362948275</v>
      </c>
      <c r="P30" s="155">
        <v>38.34915362948275</v>
      </c>
      <c r="Q30" s="155">
        <v>38.34915362948275</v>
      </c>
      <c r="R30" s="155">
        <v>38.34915362948275</v>
      </c>
      <c r="S30" s="155">
        <v>38.34915362948275</v>
      </c>
      <c r="T30" s="155">
        <v>38.34915362948275</v>
      </c>
      <c r="U30" s="155">
        <v>38.34915362948275</v>
      </c>
      <c r="V30" s="155">
        <v>38.34915362948275</v>
      </c>
      <c r="W30" s="155">
        <v>38.34915362948275</v>
      </c>
      <c r="X30" s="155">
        <v>38.34915362948275</v>
      </c>
      <c r="AB30" s="12">
        <v>24</v>
      </c>
      <c r="AC30" s="18" t="s">
        <v>287</v>
      </c>
    </row>
    <row r="31" spans="6:31" x14ac:dyDescent="0.2">
      <c r="J31" s="14" t="s">
        <v>299</v>
      </c>
      <c r="K31" s="155" cm="1">
        <f t="array" ref="K31:X31">Inputs.CCGT!forecast_ccgt_var_om_costs_CA</f>
        <v>2.739225259248768</v>
      </c>
      <c r="L31" s="155">
        <v>2.739225259248768</v>
      </c>
      <c r="M31" s="155">
        <v>2.739225259248768</v>
      </c>
      <c r="N31" s="155">
        <v>2.739225259248768</v>
      </c>
      <c r="O31" s="155">
        <v>2.739225259248768</v>
      </c>
      <c r="P31" s="155">
        <v>2.739225259248768</v>
      </c>
      <c r="Q31" s="155">
        <v>2.739225259248768</v>
      </c>
      <c r="R31" s="155">
        <v>2.739225259248768</v>
      </c>
      <c r="S31" s="155">
        <v>2.739225259248768</v>
      </c>
      <c r="T31" s="155">
        <v>2.739225259248768</v>
      </c>
      <c r="U31" s="155">
        <v>2.739225259248768</v>
      </c>
      <c r="V31" s="155">
        <v>2.739225259248768</v>
      </c>
      <c r="W31" s="155">
        <v>2.739225259248768</v>
      </c>
      <c r="X31" s="155">
        <v>2.739225259248768</v>
      </c>
      <c r="AB31" s="12">
        <v>25</v>
      </c>
      <c r="AC31" s="18" t="s">
        <v>287</v>
      </c>
    </row>
    <row r="32" spans="6:31" x14ac:dyDescent="0.2">
      <c r="J32" s="14" t="s">
        <v>300</v>
      </c>
      <c r="K32" s="155" cm="1">
        <f t="array" ref="K32:X32">'Inputs.Gas.Peaker'!N56:AA56</f>
        <v>3.8576041666666638</v>
      </c>
      <c r="L32" s="155">
        <v>3.7884374999999979</v>
      </c>
      <c r="M32" s="155">
        <v>3.7558333333333307</v>
      </c>
      <c r="N32" s="155">
        <v>3.7558333333333307</v>
      </c>
      <c r="O32" s="155">
        <v>3.7558333333333307</v>
      </c>
      <c r="P32" s="155">
        <v>3.7558333333333311</v>
      </c>
      <c r="Q32" s="155">
        <v>3.7558333333333311</v>
      </c>
      <c r="R32" s="155">
        <v>3.7558333333333311</v>
      </c>
      <c r="S32" s="155">
        <v>3.7558333333333311</v>
      </c>
      <c r="T32" s="155">
        <v>3.7558333333333311</v>
      </c>
      <c r="U32" s="155">
        <v>3.7558333333333316</v>
      </c>
      <c r="V32" s="155">
        <v>3.7558333333333316</v>
      </c>
      <c r="W32" s="155">
        <v>3.7558333333333316</v>
      </c>
      <c r="X32" s="155">
        <v>3.7558333333333316</v>
      </c>
      <c r="AB32" s="12">
        <v>26</v>
      </c>
      <c r="AC32" s="18" t="s">
        <v>287</v>
      </c>
    </row>
    <row r="33" spans="9:29" x14ac:dyDescent="0.2">
      <c r="J33" s="14" t="s">
        <v>301</v>
      </c>
      <c r="K33" s="155" cm="1">
        <f t="array" ref="K33:X33">'Inputs.Gas.Peaker'!N57:AA57</f>
        <v>37.495912499999967</v>
      </c>
      <c r="L33" s="155">
        <v>36.823612499999982</v>
      </c>
      <c r="M33" s="155">
        <v>36.506699999999974</v>
      </c>
      <c r="N33" s="155">
        <v>36.506699999999974</v>
      </c>
      <c r="O33" s="155">
        <v>36.506699999999974</v>
      </c>
      <c r="P33" s="155">
        <v>36.506699999999974</v>
      </c>
      <c r="Q33" s="155">
        <v>36.506699999999974</v>
      </c>
      <c r="R33" s="155">
        <v>36.506699999999974</v>
      </c>
      <c r="S33" s="155">
        <v>36.506699999999974</v>
      </c>
      <c r="T33" s="155">
        <v>36.506699999999974</v>
      </c>
      <c r="U33" s="155">
        <v>36.506699999999981</v>
      </c>
      <c r="V33" s="155">
        <v>36.506699999999981</v>
      </c>
      <c r="W33" s="155">
        <v>36.506699999999981</v>
      </c>
      <c r="X33" s="155">
        <v>36.506699999999981</v>
      </c>
      <c r="AB33" s="12">
        <v>27</v>
      </c>
      <c r="AC33" s="18" t="s">
        <v>287</v>
      </c>
    </row>
    <row r="34" spans="9:29" x14ac:dyDescent="0.2">
      <c r="J34" s="14" t="s">
        <v>302</v>
      </c>
      <c r="K34" s="238">
        <f>K14</f>
        <v>0.15</v>
      </c>
      <c r="L34" s="238">
        <f t="shared" ref="L34:X34" si="6">L14</f>
        <v>0.15</v>
      </c>
      <c r="M34" s="238">
        <f t="shared" si="6"/>
        <v>0.15</v>
      </c>
      <c r="N34" s="238">
        <f t="shared" si="6"/>
        <v>0.15</v>
      </c>
      <c r="O34" s="238">
        <f t="shared" si="6"/>
        <v>0.15</v>
      </c>
      <c r="P34" s="238">
        <f t="shared" si="6"/>
        <v>0.15</v>
      </c>
      <c r="Q34" s="238">
        <f t="shared" si="6"/>
        <v>0.15</v>
      </c>
      <c r="R34" s="238">
        <f t="shared" si="6"/>
        <v>0.15</v>
      </c>
      <c r="S34" s="238">
        <f t="shared" si="6"/>
        <v>0.15</v>
      </c>
      <c r="T34" s="238">
        <f t="shared" si="6"/>
        <v>0.15</v>
      </c>
      <c r="U34" s="238">
        <f t="shared" si="6"/>
        <v>0.15</v>
      </c>
      <c r="V34" s="238">
        <f t="shared" si="6"/>
        <v>0.15</v>
      </c>
      <c r="W34" s="238">
        <f t="shared" si="6"/>
        <v>0.15</v>
      </c>
      <c r="X34" s="238">
        <f t="shared" si="6"/>
        <v>0.15</v>
      </c>
      <c r="AB34" s="12">
        <v>28</v>
      </c>
      <c r="AC34" s="18" t="s">
        <v>36</v>
      </c>
    </row>
    <row r="35" spans="9:29" x14ac:dyDescent="0.2">
      <c r="J35" s="14" t="s">
        <v>303</v>
      </c>
      <c r="K35" s="239">
        <f>K34*8760*K12</f>
        <v>131400</v>
      </c>
      <c r="L35" s="239">
        <f t="shared" ref="L35:X35" si="7">L34*8760*L12</f>
        <v>131400</v>
      </c>
      <c r="M35" s="239">
        <f t="shared" si="7"/>
        <v>131400</v>
      </c>
      <c r="N35" s="239">
        <f t="shared" si="7"/>
        <v>131400</v>
      </c>
      <c r="O35" s="239">
        <f t="shared" si="7"/>
        <v>131400</v>
      </c>
      <c r="P35" s="239">
        <f t="shared" si="7"/>
        <v>131400</v>
      </c>
      <c r="Q35" s="239">
        <f t="shared" si="7"/>
        <v>131400</v>
      </c>
      <c r="R35" s="239">
        <f t="shared" si="7"/>
        <v>131400</v>
      </c>
      <c r="S35" s="239">
        <f t="shared" si="7"/>
        <v>131400</v>
      </c>
      <c r="T35" s="239">
        <f t="shared" si="7"/>
        <v>131400</v>
      </c>
      <c r="U35" s="239">
        <f t="shared" si="7"/>
        <v>131400</v>
      </c>
      <c r="V35" s="239">
        <f t="shared" si="7"/>
        <v>131400</v>
      </c>
      <c r="W35" s="239">
        <f t="shared" si="7"/>
        <v>131400</v>
      </c>
      <c r="X35" s="239">
        <f t="shared" si="7"/>
        <v>131400</v>
      </c>
      <c r="AB35" s="12">
        <v>29</v>
      </c>
      <c r="AC35" s="18" t="s">
        <v>292</v>
      </c>
    </row>
    <row r="36" spans="9:29" x14ac:dyDescent="0.2">
      <c r="J36" s="14" t="s">
        <v>25</v>
      </c>
      <c r="K36" s="155"/>
      <c r="L36" s="155"/>
      <c r="M36" s="155"/>
      <c r="N36" s="155"/>
      <c r="O36" s="155"/>
      <c r="P36" s="155"/>
      <c r="Q36" s="155"/>
      <c r="R36" s="155"/>
      <c r="S36" s="155"/>
      <c r="T36" s="155"/>
      <c r="U36" s="155"/>
      <c r="V36" s="155"/>
      <c r="W36" s="155"/>
      <c r="X36" s="155"/>
      <c r="AB36" s="12">
        <v>30</v>
      </c>
      <c r="AC36" s="18" t="s">
        <v>287</v>
      </c>
    </row>
    <row r="37" spans="9:29" x14ac:dyDescent="0.2">
      <c r="K37" s="169"/>
      <c r="L37" s="169"/>
      <c r="M37" s="169"/>
      <c r="N37" s="169"/>
      <c r="O37" s="169"/>
      <c r="P37" s="169"/>
      <c r="Q37" s="169"/>
      <c r="R37" s="169"/>
      <c r="S37" s="169"/>
      <c r="T37" s="169"/>
      <c r="U37" s="169"/>
      <c r="V37" s="169"/>
      <c r="W37" s="169"/>
      <c r="X37" s="169"/>
      <c r="AB37" s="12">
        <v>31</v>
      </c>
    </row>
    <row r="38" spans="9:29" x14ac:dyDescent="0.2">
      <c r="I38" s="19" t="s">
        <v>100</v>
      </c>
      <c r="J38" s="20"/>
      <c r="K38" s="21"/>
      <c r="L38" s="21"/>
      <c r="M38" s="21"/>
      <c r="N38" s="21"/>
      <c r="O38" s="21"/>
      <c r="P38" s="21"/>
      <c r="Q38" s="21"/>
      <c r="R38" s="21"/>
      <c r="S38" s="21"/>
      <c r="T38" s="21"/>
      <c r="U38" s="21"/>
      <c r="V38" s="21"/>
      <c r="W38" s="21"/>
      <c r="X38" s="21"/>
      <c r="AB38" s="12">
        <v>32</v>
      </c>
    </row>
    <row r="39" spans="9:29" x14ac:dyDescent="0.2">
      <c r="I39" s="19"/>
      <c r="J39" s="160" t="s">
        <v>101</v>
      </c>
      <c r="K39" s="204">
        <f>((project.interest_rate*(1+project.interest_rate)^project.debt_period)/(((1+project.interest_rate)^project.debt_period)-1))</f>
        <v>0.17913501805901069</v>
      </c>
      <c r="L39" s="204">
        <f t="shared" ref="L39:X39" si="8">((project.interest_rate*(1+project.interest_rate)^project.debt_period)/(((1+project.interest_rate)^project.debt_period)-1))</f>
        <v>0.17913501805901069</v>
      </c>
      <c r="M39" s="204">
        <f t="shared" si="8"/>
        <v>0.17913501805901069</v>
      </c>
      <c r="N39" s="204">
        <f t="shared" si="8"/>
        <v>0.17913501805901069</v>
      </c>
      <c r="O39" s="204">
        <f t="shared" si="8"/>
        <v>0.17913501805901069</v>
      </c>
      <c r="P39" s="204">
        <f t="shared" si="8"/>
        <v>0.17913501805901069</v>
      </c>
      <c r="Q39" s="204">
        <f t="shared" si="8"/>
        <v>0.17913501805901069</v>
      </c>
      <c r="R39" s="204">
        <f t="shared" si="8"/>
        <v>0.17913501805901069</v>
      </c>
      <c r="S39" s="204">
        <f t="shared" si="8"/>
        <v>0.17913501805901069</v>
      </c>
      <c r="T39" s="204">
        <f t="shared" si="8"/>
        <v>0.17913501805901069</v>
      </c>
      <c r="U39" s="204">
        <f t="shared" si="8"/>
        <v>0.17913501805901069</v>
      </c>
      <c r="V39" s="204">
        <f t="shared" si="8"/>
        <v>0.17913501805901069</v>
      </c>
      <c r="W39" s="204">
        <f t="shared" si="8"/>
        <v>0.17913501805901069</v>
      </c>
      <c r="X39" s="204">
        <f t="shared" si="8"/>
        <v>0.17913501805901069</v>
      </c>
      <c r="AB39" s="12">
        <v>33</v>
      </c>
      <c r="AC39" s="18" t="s">
        <v>102</v>
      </c>
    </row>
    <row r="40" spans="9:29" x14ac:dyDescent="0.2">
      <c r="I40" s="19"/>
      <c r="J40" s="160" t="s">
        <v>103</v>
      </c>
      <c r="K40" s="159">
        <f t="shared" ref="K40:X40" si="9">NPV(jurisdiction.discount_rate,_xlfn.MAKEARRAY(1,project.debt_period,_xlfn.LAMBDA(_xlpm.r,_xlpm.c,K$39*K$7*(1-project.downpayment))))+NPV(jurisdiction.discount_rate,_xlfn.MAKEARRAY(1,K13,_xlfn.LAMBDA(_xlpm.r,_xlpm.c,K$8)))+K$7*project.downpayment</f>
        <v>3287.6526042153992</v>
      </c>
      <c r="L40" s="159">
        <f t="shared" si="9"/>
        <v>3257.1171727728947</v>
      </c>
      <c r="M40" s="159">
        <f t="shared" si="9"/>
        <v>3210.9020610885354</v>
      </c>
      <c r="N40" s="159">
        <f t="shared" si="9"/>
        <v>3180.5968241623254</v>
      </c>
      <c r="O40" s="159">
        <f t="shared" si="9"/>
        <v>3163.2795459187746</v>
      </c>
      <c r="P40" s="159">
        <f t="shared" si="9"/>
        <v>3141.6329481143393</v>
      </c>
      <c r="Q40" s="159">
        <f t="shared" si="9"/>
        <v>3128.6449894316779</v>
      </c>
      <c r="R40" s="159">
        <f t="shared" si="9"/>
        <v>3115.657030749016</v>
      </c>
      <c r="S40" s="159">
        <f t="shared" si="9"/>
        <v>3106.9983916272422</v>
      </c>
      <c r="T40" s="159">
        <f t="shared" si="9"/>
        <v>3096.1750927250232</v>
      </c>
      <c r="U40" s="159">
        <f t="shared" si="9"/>
        <v>3087.5164536032489</v>
      </c>
      <c r="V40" s="159">
        <f t="shared" si="9"/>
        <v>3078.8578144814742</v>
      </c>
      <c r="W40" s="159">
        <f t="shared" si="9"/>
        <v>3072.3638351401432</v>
      </c>
      <c r="X40" s="159">
        <f t="shared" si="9"/>
        <v>3063.705196018369</v>
      </c>
      <c r="AB40" s="12">
        <v>34</v>
      </c>
      <c r="AC40" s="18" t="s">
        <v>104</v>
      </c>
    </row>
    <row r="41" spans="9:29" x14ac:dyDescent="0.2">
      <c r="I41" s="19"/>
      <c r="J41" s="160" t="s">
        <v>105</v>
      </c>
      <c r="K41" s="273" cm="1">
        <f t="array" ref="K41">NPV(jurisdiction.discount_rate,_xlfn.MAKEARRAY(1,K$13,_xlfn.LAMBDA(_xlpm.r,_xlpm.c,(0.995^(_xlpm.c-1)))))*K$14*8760</f>
        <v>21724.050343688381</v>
      </c>
      <c r="L41" s="273" cm="1">
        <f t="array" ref="L41">NPV(jurisdiction.discount_rate,_xlfn.MAKEARRAY(1,L$13,_xlfn.LAMBDA(_xlpm.r,_xlpm.c,(0.995^(_xlpm.c-1)))))*L$14*8760</f>
        <v>21724.050343688381</v>
      </c>
      <c r="M41" s="273" cm="1">
        <f t="array" ref="M41">NPV(jurisdiction.discount_rate,_xlfn.MAKEARRAY(1,M$13,_xlfn.LAMBDA(_xlpm.r,_xlpm.c,(0.995^(_xlpm.c-1)))))*M$14*8760</f>
        <v>21724.050343688381</v>
      </c>
      <c r="N41" s="273" cm="1">
        <f t="array" ref="N41">NPV(jurisdiction.discount_rate,_xlfn.MAKEARRAY(1,N$13,_xlfn.LAMBDA(_xlpm.r,_xlpm.c,(0.995^(_xlpm.c-1)))))*N$14*8760</f>
        <v>21724.050343688381</v>
      </c>
      <c r="O41" s="273" cm="1">
        <f t="array" ref="O41">NPV(jurisdiction.discount_rate,_xlfn.MAKEARRAY(1,O$13,_xlfn.LAMBDA(_xlpm.r,_xlpm.c,(0.995^(_xlpm.c-1)))))*O$14*8760</f>
        <v>21724.050343688381</v>
      </c>
      <c r="P41" s="273" cm="1">
        <f t="array" ref="P41">NPV(jurisdiction.discount_rate,_xlfn.MAKEARRAY(1,P$13,_xlfn.LAMBDA(_xlpm.r,_xlpm.c,(0.995^(_xlpm.c-1)))))*P$14*8760</f>
        <v>21724.050343688381</v>
      </c>
      <c r="Q41" s="273" cm="1">
        <f t="array" ref="Q41">NPV(jurisdiction.discount_rate,_xlfn.MAKEARRAY(1,Q$13,_xlfn.LAMBDA(_xlpm.r,_xlpm.c,(0.995^(_xlpm.c-1)))))*Q$14*8760</f>
        <v>21724.050343688381</v>
      </c>
      <c r="R41" s="273" cm="1">
        <f t="array" ref="R41">NPV(jurisdiction.discount_rate,_xlfn.MAKEARRAY(1,R$13,_xlfn.LAMBDA(_xlpm.r,_xlpm.c,(0.995^(_xlpm.c-1)))))*R$14*8760</f>
        <v>21724.050343688381</v>
      </c>
      <c r="S41" s="273" cm="1">
        <f t="array" ref="S41">NPV(jurisdiction.discount_rate,_xlfn.MAKEARRAY(1,S$13,_xlfn.LAMBDA(_xlpm.r,_xlpm.c,(0.995^(_xlpm.c-1)))))*S$14*8760</f>
        <v>21724.050343688381</v>
      </c>
      <c r="T41" s="273" cm="1">
        <f t="array" ref="T41">NPV(jurisdiction.discount_rate,_xlfn.MAKEARRAY(1,T$13,_xlfn.LAMBDA(_xlpm.r,_xlpm.c,(0.995^(_xlpm.c-1)))))*T$14*8760</f>
        <v>21724.050343688381</v>
      </c>
      <c r="U41" s="273" cm="1">
        <f t="array" ref="U41">NPV(jurisdiction.discount_rate,_xlfn.MAKEARRAY(1,U$13,_xlfn.LAMBDA(_xlpm.r,_xlpm.c,(0.995^(_xlpm.c-1)))))*U$14*8760</f>
        <v>21724.050343688381</v>
      </c>
      <c r="V41" s="273" cm="1">
        <f t="array" ref="V41">NPV(jurisdiction.discount_rate,_xlfn.MAKEARRAY(1,V$13,_xlfn.LAMBDA(_xlpm.r,_xlpm.c,(0.995^(_xlpm.c-1)))))*V$14*8760</f>
        <v>21724.050343688381</v>
      </c>
      <c r="W41" s="273" cm="1">
        <f t="array" ref="W41">NPV(jurisdiction.discount_rate,_xlfn.MAKEARRAY(1,W$13,_xlfn.LAMBDA(_xlpm.r,_xlpm.c,(0.995^(_xlpm.c-1)))))*W$14*8760</f>
        <v>21724.050343688381</v>
      </c>
      <c r="X41" s="273" cm="1">
        <f t="array" ref="X41">NPV(jurisdiction.discount_rate,_xlfn.MAKEARRAY(1,X$13,_xlfn.LAMBDA(_xlpm.r,_xlpm.c,(0.995^(_xlpm.c-1)))))*X$14*8760</f>
        <v>21724.050343688381</v>
      </c>
      <c r="AB41" s="12">
        <v>35</v>
      </c>
      <c r="AC41" s="18" t="s">
        <v>106</v>
      </c>
    </row>
    <row r="42" spans="9:29" x14ac:dyDescent="0.2">
      <c r="I42" s="19"/>
      <c r="J42" s="160" t="s">
        <v>107</v>
      </c>
      <c r="K42" s="287">
        <f>K40/K41</f>
        <v>0.15133699987813648</v>
      </c>
      <c r="L42" s="287">
        <f t="shared" ref="L42:X42" si="10">L40/L41</f>
        <v>0.14993139498588967</v>
      </c>
      <c r="M42" s="287">
        <f t="shared" si="10"/>
        <v>0.14780402412487587</v>
      </c>
      <c r="N42" s="287">
        <f t="shared" si="10"/>
        <v>0.14640901553086316</v>
      </c>
      <c r="O42" s="287">
        <f t="shared" si="10"/>
        <v>0.14561186776285581</v>
      </c>
      <c r="P42" s="287">
        <f t="shared" si="10"/>
        <v>0.14461543305284674</v>
      </c>
      <c r="Q42" s="287">
        <f t="shared" si="10"/>
        <v>0.14401757222684131</v>
      </c>
      <c r="R42" s="287">
        <f t="shared" si="10"/>
        <v>0.14341971140083584</v>
      </c>
      <c r="S42" s="287">
        <f t="shared" si="10"/>
        <v>0.14302113751683221</v>
      </c>
      <c r="T42" s="287">
        <f t="shared" si="10"/>
        <v>0.14252292016182763</v>
      </c>
      <c r="U42" s="287">
        <f t="shared" si="10"/>
        <v>0.142124346277824</v>
      </c>
      <c r="V42" s="287">
        <f t="shared" si="10"/>
        <v>0.14172577239382034</v>
      </c>
      <c r="W42" s="287">
        <f t="shared" si="10"/>
        <v>0.14142684198081762</v>
      </c>
      <c r="X42" s="287">
        <f t="shared" si="10"/>
        <v>0.14102826809681399</v>
      </c>
      <c r="AB42" s="12">
        <v>36</v>
      </c>
      <c r="AC42" s="18" t="s">
        <v>108</v>
      </c>
    </row>
    <row r="43" spans="9:29" x14ac:dyDescent="0.2">
      <c r="AB43" s="12"/>
    </row>
    <row r="44" spans="9:29" x14ac:dyDescent="0.2">
      <c r="AB44" s="12"/>
    </row>
    <row r="45" spans="9:29" x14ac:dyDescent="0.2">
      <c r="AB45" s="12"/>
    </row>
    <row r="46" spans="9:29" x14ac:dyDescent="0.2">
      <c r="AB46" s="12"/>
    </row>
    <row r="47" spans="9:29" x14ac:dyDescent="0.2">
      <c r="AB47" s="12"/>
    </row>
    <row r="48" spans="9:29" x14ac:dyDescent="0.2">
      <c r="AB48" s="12"/>
    </row>
    <row r="49" spans="11:28" x14ac:dyDescent="0.2">
      <c r="K49" s="169"/>
      <c r="AB49" s="12"/>
    </row>
    <row r="50" spans="11:28" x14ac:dyDescent="0.2">
      <c r="K50" s="169"/>
      <c r="AB50" s="12"/>
    </row>
    <row r="51" spans="11:28" x14ac:dyDescent="0.2">
      <c r="AB51" s="12"/>
    </row>
    <row r="52" spans="11:28" x14ac:dyDescent="0.2">
      <c r="AB52" s="12"/>
    </row>
    <row r="53" spans="11:28" x14ac:dyDescent="0.2">
      <c r="AB53" s="12"/>
    </row>
    <row r="54" spans="11:28" x14ac:dyDescent="0.2">
      <c r="AB54" s="12"/>
    </row>
    <row r="55" spans="11:28" x14ac:dyDescent="0.2">
      <c r="AB55" s="12"/>
    </row>
    <row r="56" spans="11:28" x14ac:dyDescent="0.2">
      <c r="AB56" s="12"/>
    </row>
    <row r="57" spans="11:28" x14ac:dyDescent="0.2">
      <c r="AB57" s="12"/>
    </row>
    <row r="58" spans="11:28" x14ac:dyDescent="0.2">
      <c r="AB58" s="12"/>
    </row>
    <row r="59" spans="11:28" x14ac:dyDescent="0.2">
      <c r="AB59" s="12"/>
    </row>
    <row r="60" spans="11:28" x14ac:dyDescent="0.2">
      <c r="AB60" s="12"/>
    </row>
    <row r="61" spans="11:28" x14ac:dyDescent="0.2">
      <c r="AB61" s="12"/>
    </row>
    <row r="62" spans="11:28" x14ac:dyDescent="0.2">
      <c r="AB62" s="12"/>
    </row>
    <row r="63" spans="11:28" x14ac:dyDescent="0.2">
      <c r="AB63" s="12"/>
    </row>
    <row r="64" spans="11:28" x14ac:dyDescent="0.2">
      <c r="AB64" s="12"/>
    </row>
    <row r="65" spans="28:28" x14ac:dyDescent="0.2">
      <c r="AB65" s="12"/>
    </row>
    <row r="66" spans="28:28" x14ac:dyDescent="0.2">
      <c r="AB66" s="12"/>
    </row>
    <row r="67" spans="28:28" x14ac:dyDescent="0.2">
      <c r="AB67" s="12"/>
    </row>
    <row r="68" spans="28:28" x14ac:dyDescent="0.2">
      <c r="AB68" s="12"/>
    </row>
    <row r="69" spans="28:28" x14ac:dyDescent="0.2">
      <c r="AB69" s="12"/>
    </row>
    <row r="70" spans="28:28" x14ac:dyDescent="0.2">
      <c r="AB70" s="12"/>
    </row>
    <row r="71" spans="28:28" x14ac:dyDescent="0.2">
      <c r="AB71" s="12"/>
    </row>
    <row r="72" spans="28:28" x14ac:dyDescent="0.2">
      <c r="AB72" s="12"/>
    </row>
  </sheetData>
  <mergeCells count="1">
    <mergeCell ref="B3:E3"/>
  </mergeCell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5E720-E99D-4B38-85CB-ADC729EA1DCE}">
  <dimension ref="B1:AE72"/>
  <sheetViews>
    <sheetView topLeftCell="A8" workbookViewId="0">
      <selection activeCell="K38" sqref="K38"/>
    </sheetView>
  </sheetViews>
  <sheetFormatPr baseColWidth="10" defaultColWidth="8.83203125" defaultRowHeight="16" x14ac:dyDescent="0.2"/>
  <cols>
    <col min="1" max="1" width="2.6640625" customWidth="1"/>
    <col min="2" max="2" width="2.6640625" style="3" customWidth="1"/>
    <col min="3" max="3" width="2.6640625" style="4" customWidth="1"/>
    <col min="4" max="4" width="2.6640625" style="2" customWidth="1"/>
    <col min="5" max="5" width="20.6640625" customWidth="1"/>
    <col min="6" max="6" width="2.6640625" style="156" customWidth="1"/>
    <col min="7" max="9" width="2.6640625" style="32" customWidth="1"/>
    <col min="10" max="10" width="35.5" style="14" customWidth="1"/>
    <col min="11" max="11" width="14.83203125" style="32" bestFit="1" customWidth="1"/>
    <col min="12" max="24" width="11.33203125" style="32" bestFit="1" customWidth="1"/>
    <col min="25" max="28" width="2.6640625" customWidth="1"/>
  </cols>
  <sheetData>
    <row r="1" spans="2:31" ht="21" x14ac:dyDescent="0.25">
      <c r="B1" s="5" t="str">
        <f>"Combined Cycle Cost Forecast for " &amp;selected.location</f>
        <v>Combined Cycle Cost Forecast for Ontario</v>
      </c>
    </row>
    <row r="2" spans="2:31" ht="19" x14ac:dyDescent="0.25">
      <c r="B2" s="1" t="str">
        <f>_Cover!B14</f>
        <v>Renewable Cost Forecast</v>
      </c>
    </row>
    <row r="3" spans="2:31" ht="15" x14ac:dyDescent="0.2">
      <c r="B3" s="331" t="str">
        <f ca="1">HYPERLINK("#"&amp;CELL("address", _Contents!B3 ), "Go to Table of Contents")</f>
        <v>Go to Table of Contents</v>
      </c>
      <c r="C3" s="331"/>
      <c r="D3" s="331"/>
      <c r="E3" s="331"/>
    </row>
    <row r="4" spans="2:31" x14ac:dyDescent="0.2">
      <c r="K4" s="22">
        <v>2022</v>
      </c>
      <c r="L4" s="22">
        <v>2023</v>
      </c>
      <c r="M4" s="22">
        <v>2024</v>
      </c>
      <c r="N4" s="22">
        <v>2025</v>
      </c>
      <c r="O4" s="22">
        <v>2026</v>
      </c>
      <c r="P4" s="22">
        <v>2027</v>
      </c>
      <c r="Q4" s="22">
        <v>2028</v>
      </c>
      <c r="R4" s="22">
        <v>2029</v>
      </c>
      <c r="S4" s="22">
        <v>2030</v>
      </c>
      <c r="T4" s="22">
        <v>2031</v>
      </c>
      <c r="U4" s="22">
        <v>2032</v>
      </c>
      <c r="V4" s="22">
        <v>2033</v>
      </c>
      <c r="W4" s="22">
        <v>2034</v>
      </c>
      <c r="X4" s="22">
        <v>2035</v>
      </c>
      <c r="AC4" s="10" t="s">
        <v>27</v>
      </c>
    </row>
    <row r="6" spans="2:31" x14ac:dyDescent="0.2">
      <c r="F6" s="156" t="str">
        <f>"Results - "&amp;selected.location&amp;" Real 2022$CA"</f>
        <v>Results - Ontario Real 2022$CA</v>
      </c>
      <c r="H6" s="19"/>
      <c r="I6" s="19"/>
    </row>
    <row r="7" spans="2:31" x14ac:dyDescent="0.2">
      <c r="H7" s="19"/>
      <c r="I7" s="19"/>
      <c r="J7" s="14" t="s">
        <v>30</v>
      </c>
      <c r="K7" s="153" cm="1">
        <f t="array" ref="K7:X7">K17:X17*1000/K12:X12</f>
        <v>1816.6839759791653</v>
      </c>
      <c r="L7" s="153">
        <v>1806.3969772476867</v>
      </c>
      <c r="M7" s="153">
        <v>1781.7081802921375</v>
      </c>
      <c r="N7" s="153">
        <v>1765.2489823217716</v>
      </c>
      <c r="O7" s="153">
        <v>1752.9045838439968</v>
      </c>
      <c r="P7" s="153">
        <v>1738.502785619926</v>
      </c>
      <c r="Q7" s="153">
        <v>1728.2157868884474</v>
      </c>
      <c r="R7" s="153">
        <v>1717.9287881569683</v>
      </c>
      <c r="S7" s="153">
        <v>1711.7565889180812</v>
      </c>
      <c r="T7" s="153">
        <v>1701.4695901866025</v>
      </c>
      <c r="U7" s="153">
        <v>1695.297390947715</v>
      </c>
      <c r="V7" s="153">
        <v>1687.0677919625318</v>
      </c>
      <c r="W7" s="153">
        <v>1680.8955927236445</v>
      </c>
      <c r="X7" s="153">
        <v>1672.6659937384618</v>
      </c>
      <c r="AB7" s="12">
        <v>1</v>
      </c>
      <c r="AC7" s="18" t="s">
        <v>29</v>
      </c>
    </row>
    <row r="8" spans="2:31" x14ac:dyDescent="0.2">
      <c r="H8" s="19"/>
      <c r="I8" s="19"/>
      <c r="J8" s="14" t="s">
        <v>32</v>
      </c>
      <c r="K8" s="153" cm="1">
        <f t="array" ref="K8:X8">K18:X18*1000/K12:X12</f>
        <v>209.49871371457976</v>
      </c>
      <c r="L8" s="153">
        <v>207.18659931457981</v>
      </c>
      <c r="M8" s="153">
        <v>206.09670201457976</v>
      </c>
      <c r="N8" s="153">
        <v>206.09670201457976</v>
      </c>
      <c r="O8" s="153">
        <v>206.09670201457976</v>
      </c>
      <c r="P8" s="153">
        <v>206.09670201457976</v>
      </c>
      <c r="Q8" s="153">
        <v>206.09670201457976</v>
      </c>
      <c r="R8" s="153">
        <v>206.09670201457976</v>
      </c>
      <c r="S8" s="153">
        <v>206.09670201457976</v>
      </c>
      <c r="T8" s="153">
        <v>206.09670201457976</v>
      </c>
      <c r="U8" s="153">
        <v>206.09670201457976</v>
      </c>
      <c r="V8" s="153">
        <v>206.09670201457976</v>
      </c>
      <c r="W8" s="153">
        <v>206.09670201457976</v>
      </c>
      <c r="X8" s="153">
        <v>206.09670201457976</v>
      </c>
      <c r="AB8" s="12">
        <v>2</v>
      </c>
      <c r="AC8" s="18" t="s">
        <v>31</v>
      </c>
    </row>
    <row r="9" spans="2:31" x14ac:dyDescent="0.2">
      <c r="H9" s="19"/>
      <c r="I9" s="19"/>
      <c r="J9" s="14" t="s">
        <v>34</v>
      </c>
      <c r="K9" s="152" cm="1">
        <f t="array" ref="K9:X9">K42:X42</f>
        <v>6.4586360761801992E-2</v>
      </c>
      <c r="L9" s="152">
        <v>6.3995035282491036E-2</v>
      </c>
      <c r="M9" s="152">
        <v>6.3469429581721568E-2</v>
      </c>
      <c r="N9" s="152">
        <v>6.3264628944162196E-2</v>
      </c>
      <c r="O9" s="152">
        <v>6.3111028465992661E-2</v>
      </c>
      <c r="P9" s="152">
        <v>6.2931827908128193E-2</v>
      </c>
      <c r="Q9" s="152">
        <v>6.2803827509653576E-2</v>
      </c>
      <c r="R9" s="152">
        <v>6.2675827111178972E-2</v>
      </c>
      <c r="S9" s="152">
        <v>6.2599026872094218E-2</v>
      </c>
      <c r="T9" s="152">
        <v>6.2471026473619594E-2</v>
      </c>
      <c r="U9" s="152">
        <v>6.2394226234534826E-2</v>
      </c>
      <c r="V9" s="152">
        <v>6.229182591575514E-2</v>
      </c>
      <c r="W9" s="152">
        <v>6.221502567667038E-2</v>
      </c>
      <c r="X9" s="152">
        <v>6.2112625357890687E-2</v>
      </c>
      <c r="AB9" s="12">
        <v>3</v>
      </c>
      <c r="AC9" s="18" t="s">
        <v>33</v>
      </c>
    </row>
    <row r="10" spans="2:31" x14ac:dyDescent="0.2">
      <c r="AB10" s="12">
        <v>4</v>
      </c>
    </row>
    <row r="11" spans="2:31" x14ac:dyDescent="0.2">
      <c r="F11" s="156" t="s">
        <v>286</v>
      </c>
      <c r="AB11" s="12">
        <v>5</v>
      </c>
    </row>
    <row r="12" spans="2:31" x14ac:dyDescent="0.2">
      <c r="J12" s="14" t="s">
        <v>200</v>
      </c>
      <c r="K12" s="33">
        <v>100</v>
      </c>
      <c r="L12" s="33">
        <v>100</v>
      </c>
      <c r="M12" s="33">
        <v>100</v>
      </c>
      <c r="N12" s="33">
        <v>100</v>
      </c>
      <c r="O12" s="33">
        <v>100</v>
      </c>
      <c r="P12" s="33">
        <v>100</v>
      </c>
      <c r="Q12" s="33">
        <v>100</v>
      </c>
      <c r="R12" s="33">
        <v>100</v>
      </c>
      <c r="S12" s="33">
        <v>100</v>
      </c>
      <c r="T12" s="33">
        <v>100</v>
      </c>
      <c r="U12" s="33">
        <v>100</v>
      </c>
      <c r="V12" s="33">
        <v>100</v>
      </c>
      <c r="W12" s="33">
        <v>100</v>
      </c>
      <c r="X12" s="33">
        <v>100</v>
      </c>
      <c r="AB12" s="12">
        <v>6</v>
      </c>
      <c r="AC12" s="18" t="s">
        <v>36</v>
      </c>
    </row>
    <row r="13" spans="2:31" x14ac:dyDescent="0.2">
      <c r="J13" s="14" t="s">
        <v>43</v>
      </c>
      <c r="K13" s="33">
        <f>'Inputs.Gas.Peaker'!$L$51</f>
        <v>25</v>
      </c>
      <c r="L13" s="33">
        <f>'Inputs.Gas.Peaker'!$L$51</f>
        <v>25</v>
      </c>
      <c r="M13" s="33">
        <f>'Inputs.Gas.Peaker'!$L$51</f>
        <v>25</v>
      </c>
      <c r="N13" s="33">
        <f>'Inputs.Gas.Peaker'!$L$51</f>
        <v>25</v>
      </c>
      <c r="O13" s="33">
        <f>'Inputs.Gas.Peaker'!$L$51</f>
        <v>25</v>
      </c>
      <c r="P13" s="33">
        <f>'Inputs.Gas.Peaker'!$L$51</f>
        <v>25</v>
      </c>
      <c r="Q13" s="33">
        <f>'Inputs.Gas.Peaker'!$L$51</f>
        <v>25</v>
      </c>
      <c r="R13" s="33">
        <f>'Inputs.Gas.Peaker'!$L$51</f>
        <v>25</v>
      </c>
      <c r="S13" s="33">
        <f>'Inputs.Gas.Peaker'!$L$51</f>
        <v>25</v>
      </c>
      <c r="T13" s="33">
        <f>'Inputs.Gas.Peaker'!$L$51</f>
        <v>25</v>
      </c>
      <c r="U13" s="33">
        <f>'Inputs.Gas.Peaker'!$L$51</f>
        <v>25</v>
      </c>
      <c r="V13" s="33">
        <f>'Inputs.Gas.Peaker'!$L$51</f>
        <v>25</v>
      </c>
      <c r="W13" s="33">
        <f>'Inputs.Gas.Peaker'!$L$51</f>
        <v>25</v>
      </c>
      <c r="X13" s="33">
        <f>'Inputs.Gas.Peaker'!$L$51</f>
        <v>25</v>
      </c>
      <c r="AB13" s="12">
        <v>7</v>
      </c>
      <c r="AC13" s="18" t="s">
        <v>287</v>
      </c>
    </row>
    <row r="14" spans="2:31" x14ac:dyDescent="0.2">
      <c r="J14" s="14" t="s">
        <v>44</v>
      </c>
      <c r="K14" s="61">
        <v>0.6</v>
      </c>
      <c r="L14" s="61">
        <v>0.6</v>
      </c>
      <c r="M14" s="61">
        <v>0.6</v>
      </c>
      <c r="N14" s="61">
        <v>0.6</v>
      </c>
      <c r="O14" s="61">
        <v>0.6</v>
      </c>
      <c r="P14" s="61">
        <v>0.6</v>
      </c>
      <c r="Q14" s="61">
        <v>0.6</v>
      </c>
      <c r="R14" s="61">
        <v>0.6</v>
      </c>
      <c r="S14" s="61">
        <v>0.6</v>
      </c>
      <c r="T14" s="61">
        <v>0.6</v>
      </c>
      <c r="U14" s="61">
        <v>0.6</v>
      </c>
      <c r="V14" s="61">
        <v>0.6</v>
      </c>
      <c r="W14" s="61">
        <v>0.6</v>
      </c>
      <c r="X14" s="61">
        <v>0.6</v>
      </c>
      <c r="Y14" s="61"/>
      <c r="AB14" s="12">
        <v>8</v>
      </c>
      <c r="AC14" s="18" t="s">
        <v>36</v>
      </c>
    </row>
    <row r="15" spans="2:31" x14ac:dyDescent="0.2">
      <c r="AB15" s="12">
        <v>9</v>
      </c>
    </row>
    <row r="16" spans="2:31" x14ac:dyDescent="0.2">
      <c r="F16" s="156" t="s">
        <v>45</v>
      </c>
      <c r="G16" s="13"/>
      <c r="H16" s="19"/>
      <c r="I16" s="19"/>
      <c r="J16" s="205"/>
      <c r="L16" s="23"/>
      <c r="M16" s="21"/>
      <c r="N16" s="21"/>
      <c r="O16" s="21"/>
      <c r="P16" s="21"/>
      <c r="Q16" s="21"/>
      <c r="R16" s="21"/>
      <c r="S16" s="21"/>
      <c r="T16" s="21"/>
      <c r="U16" s="21"/>
      <c r="V16" s="21"/>
      <c r="W16" s="21"/>
      <c r="X16" s="21"/>
      <c r="Y16" s="21"/>
      <c r="AB16" s="12">
        <v>10</v>
      </c>
      <c r="AD16" s="45"/>
      <c r="AE16" s="51"/>
    </row>
    <row r="17" spans="6:31" x14ac:dyDescent="0.2">
      <c r="F17" s="19"/>
      <c r="G17" s="12"/>
      <c r="H17" s="19"/>
      <c r="I17" s="19"/>
      <c r="J17" s="236" t="s">
        <v>46</v>
      </c>
      <c r="K17" s="169">
        <f>K22</f>
        <v>181.66839759791654</v>
      </c>
      <c r="L17" s="169">
        <f t="shared" ref="L17:X17" si="0">L22</f>
        <v>180.63969772476867</v>
      </c>
      <c r="M17" s="169">
        <f t="shared" si="0"/>
        <v>178.17081802921376</v>
      </c>
      <c r="N17" s="169">
        <f t="shared" si="0"/>
        <v>176.52489823217715</v>
      </c>
      <c r="O17" s="169">
        <f t="shared" si="0"/>
        <v>175.29045838439967</v>
      </c>
      <c r="P17" s="169">
        <f t="shared" si="0"/>
        <v>173.85027856199261</v>
      </c>
      <c r="Q17" s="169">
        <f t="shared" si="0"/>
        <v>172.82157868884474</v>
      </c>
      <c r="R17" s="169">
        <f t="shared" si="0"/>
        <v>171.79287881569684</v>
      </c>
      <c r="S17" s="169">
        <f t="shared" si="0"/>
        <v>171.17565889180813</v>
      </c>
      <c r="T17" s="169">
        <f t="shared" si="0"/>
        <v>170.14695901866025</v>
      </c>
      <c r="U17" s="169">
        <f t="shared" si="0"/>
        <v>169.52973909477151</v>
      </c>
      <c r="V17" s="169">
        <f t="shared" si="0"/>
        <v>168.70677919625319</v>
      </c>
      <c r="W17" s="169">
        <f t="shared" si="0"/>
        <v>168.08955927236445</v>
      </c>
      <c r="X17" s="169">
        <f t="shared" si="0"/>
        <v>167.26659937384616</v>
      </c>
      <c r="Y17" s="152"/>
      <c r="AB17" s="12">
        <v>11</v>
      </c>
      <c r="AC17" s="18" t="s">
        <v>288</v>
      </c>
      <c r="AD17" s="45"/>
      <c r="AE17" s="51"/>
    </row>
    <row r="18" spans="6:31" x14ac:dyDescent="0.2">
      <c r="F18" s="19"/>
      <c r="G18" s="12"/>
      <c r="H18" s="19"/>
      <c r="I18" s="19"/>
      <c r="J18" s="236" t="s">
        <v>48</v>
      </c>
      <c r="K18" s="169">
        <f>SUM(K23:K26)</f>
        <v>20.949871371457974</v>
      </c>
      <c r="L18" s="169">
        <f>SUM(L23:L26)</f>
        <v>20.718659931457978</v>
      </c>
      <c r="M18" s="169">
        <f t="shared" ref="M18:X18" si="1">SUM(M23:M26)</f>
        <v>20.609670201457973</v>
      </c>
      <c r="N18" s="169">
        <f t="shared" si="1"/>
        <v>20.609670201457973</v>
      </c>
      <c r="O18" s="169">
        <f t="shared" si="1"/>
        <v>20.609670201457973</v>
      </c>
      <c r="P18" s="169">
        <f t="shared" si="1"/>
        <v>20.609670201457973</v>
      </c>
      <c r="Q18" s="169">
        <f t="shared" si="1"/>
        <v>20.609670201457973</v>
      </c>
      <c r="R18" s="169">
        <f t="shared" si="1"/>
        <v>20.609670201457973</v>
      </c>
      <c r="S18" s="169">
        <f t="shared" si="1"/>
        <v>20.609670201457973</v>
      </c>
      <c r="T18" s="169">
        <f t="shared" si="1"/>
        <v>20.609670201457973</v>
      </c>
      <c r="U18" s="169">
        <f t="shared" si="1"/>
        <v>20.609670201457973</v>
      </c>
      <c r="V18" s="169">
        <f t="shared" si="1"/>
        <v>20.609670201457973</v>
      </c>
      <c r="W18" s="169">
        <f t="shared" si="1"/>
        <v>20.609670201457973</v>
      </c>
      <c r="X18" s="169">
        <f t="shared" si="1"/>
        <v>20.609670201457973</v>
      </c>
      <c r="Y18" s="152"/>
      <c r="AB18" s="12">
        <v>12</v>
      </c>
      <c r="AC18" s="18" t="s">
        <v>289</v>
      </c>
      <c r="AD18" s="45"/>
      <c r="AE18" s="51"/>
    </row>
    <row r="19" spans="6:31" x14ac:dyDescent="0.2">
      <c r="AB19" s="12">
        <v>13</v>
      </c>
    </row>
    <row r="20" spans="6:31" x14ac:dyDescent="0.2">
      <c r="F20" s="156" t="s">
        <v>50</v>
      </c>
      <c r="AB20" s="12">
        <v>14</v>
      </c>
    </row>
    <row r="21" spans="6:31" x14ac:dyDescent="0.2">
      <c r="G21" s="32" t="s">
        <v>290</v>
      </c>
      <c r="L21" s="237"/>
      <c r="M21" s="237"/>
      <c r="N21" s="237"/>
      <c r="O21" s="237"/>
      <c r="P21" s="237"/>
      <c r="Q21" s="237"/>
      <c r="R21" s="237"/>
      <c r="S21" s="237"/>
      <c r="T21" s="237"/>
      <c r="U21" s="237"/>
      <c r="V21" s="237"/>
      <c r="W21" s="237"/>
      <c r="X21" s="237"/>
      <c r="AB21" s="12">
        <v>15</v>
      </c>
    </row>
    <row r="22" spans="6:31" x14ac:dyDescent="0.2">
      <c r="J22" s="14" t="s">
        <v>291</v>
      </c>
      <c r="K22" s="151" cm="1">
        <f t="array" ref="K22:X22">_xlfn.ANCHORARRAY(K29)*K12:X12*1000/1000000</f>
        <v>181.66839759791654</v>
      </c>
      <c r="L22" s="151">
        <v>180.63969772476867</v>
      </c>
      <c r="M22" s="151">
        <v>178.17081802921376</v>
      </c>
      <c r="N22" s="151">
        <v>176.52489823217715</v>
      </c>
      <c r="O22" s="151">
        <v>175.29045838439967</v>
      </c>
      <c r="P22" s="151">
        <v>173.85027856199261</v>
      </c>
      <c r="Q22" s="151">
        <v>172.82157868884474</v>
      </c>
      <c r="R22" s="151">
        <v>171.79287881569684</v>
      </c>
      <c r="S22" s="151">
        <v>171.17565889180813</v>
      </c>
      <c r="T22" s="151">
        <v>170.14695901866025</v>
      </c>
      <c r="U22" s="151">
        <v>169.52973909477151</v>
      </c>
      <c r="V22" s="151">
        <v>168.70677919625319</v>
      </c>
      <c r="W22" s="151">
        <v>168.08955927236445</v>
      </c>
      <c r="X22" s="151">
        <v>167.26659937384616</v>
      </c>
      <c r="AB22" s="12">
        <v>16</v>
      </c>
      <c r="AC22" s="18" t="s">
        <v>292</v>
      </c>
    </row>
    <row r="23" spans="6:31" x14ac:dyDescent="0.2">
      <c r="J23" s="14" t="s">
        <v>293</v>
      </c>
      <c r="K23" s="151">
        <f t="shared" ref="K23:X23" si="2">K30*K12*1000/1000000</f>
        <v>3.9946377849511183</v>
      </c>
      <c r="L23" s="151">
        <f t="shared" si="2"/>
        <v>3.9946377849511183</v>
      </c>
      <c r="M23" s="151">
        <f t="shared" si="2"/>
        <v>3.9946377849511183</v>
      </c>
      <c r="N23" s="151">
        <f t="shared" si="2"/>
        <v>3.9946377849511183</v>
      </c>
      <c r="O23" s="151">
        <f t="shared" si="2"/>
        <v>3.9946377849511183</v>
      </c>
      <c r="P23" s="151">
        <f t="shared" si="2"/>
        <v>3.9946377849511183</v>
      </c>
      <c r="Q23" s="151">
        <f t="shared" si="2"/>
        <v>3.9946377849511183</v>
      </c>
      <c r="R23" s="151">
        <f t="shared" si="2"/>
        <v>3.9946377849511183</v>
      </c>
      <c r="S23" s="151">
        <f t="shared" si="2"/>
        <v>3.9946377849511183</v>
      </c>
      <c r="T23" s="151">
        <f t="shared" si="2"/>
        <v>3.9946377849511183</v>
      </c>
      <c r="U23" s="151">
        <f t="shared" si="2"/>
        <v>3.9946377849511183</v>
      </c>
      <c r="V23" s="151">
        <f t="shared" si="2"/>
        <v>3.9946377849511183</v>
      </c>
      <c r="W23" s="151">
        <f t="shared" si="2"/>
        <v>3.9946377849511183</v>
      </c>
      <c r="X23" s="151">
        <f t="shared" si="2"/>
        <v>3.9946377849511183</v>
      </c>
      <c r="AB23" s="12">
        <v>17</v>
      </c>
      <c r="AC23" s="18" t="s">
        <v>292</v>
      </c>
    </row>
    <row r="24" spans="6:31" x14ac:dyDescent="0.2">
      <c r="J24" s="14" t="s">
        <v>294</v>
      </c>
      <c r="K24" s="151">
        <f>K35*K31/1000000</f>
        <v>4.0599726565068632</v>
      </c>
      <c r="L24" s="151">
        <f t="shared" ref="L24:X24" si="3">L35*L31/1000000</f>
        <v>4.0599726565068632</v>
      </c>
      <c r="M24" s="151">
        <f t="shared" si="3"/>
        <v>4.0599726565068632</v>
      </c>
      <c r="N24" s="151">
        <f t="shared" si="3"/>
        <v>4.0599726565068632</v>
      </c>
      <c r="O24" s="151">
        <f t="shared" si="3"/>
        <v>4.0599726565068632</v>
      </c>
      <c r="P24" s="151">
        <f t="shared" si="3"/>
        <v>4.0599726565068632</v>
      </c>
      <c r="Q24" s="151">
        <f t="shared" si="3"/>
        <v>4.0599726565068632</v>
      </c>
      <c r="R24" s="151">
        <f t="shared" si="3"/>
        <v>4.0599726565068632</v>
      </c>
      <c r="S24" s="151">
        <f t="shared" si="3"/>
        <v>4.0599726565068632</v>
      </c>
      <c r="T24" s="151">
        <f t="shared" si="3"/>
        <v>4.0599726565068632</v>
      </c>
      <c r="U24" s="151">
        <f t="shared" si="3"/>
        <v>4.0599726565068632</v>
      </c>
      <c r="V24" s="151">
        <f t="shared" si="3"/>
        <v>4.0599726565068632</v>
      </c>
      <c r="W24" s="151">
        <f t="shared" si="3"/>
        <v>4.0599726565068632</v>
      </c>
      <c r="X24" s="151">
        <f t="shared" si="3"/>
        <v>4.0599726565068632</v>
      </c>
      <c r="AB24" s="12">
        <v>18</v>
      </c>
      <c r="AC24" s="18" t="s">
        <v>292</v>
      </c>
    </row>
    <row r="25" spans="6:31" x14ac:dyDescent="0.2">
      <c r="J25" s="14" t="s">
        <v>295</v>
      </c>
      <c r="K25" s="151">
        <f>K35*K33/1000000</f>
        <v>12.89526092999999</v>
      </c>
      <c r="L25" s="151">
        <f>L35*L33/1000000</f>
        <v>12.664049489999995</v>
      </c>
      <c r="M25" s="151">
        <f t="shared" ref="M25:X25" si="4">M35*M33/1000000</f>
        <v>12.55505975999999</v>
      </c>
      <c r="N25" s="151">
        <f t="shared" si="4"/>
        <v>12.55505975999999</v>
      </c>
      <c r="O25" s="151">
        <f t="shared" si="4"/>
        <v>12.55505975999999</v>
      </c>
      <c r="P25" s="151">
        <f t="shared" si="4"/>
        <v>12.555059759999992</v>
      </c>
      <c r="Q25" s="151">
        <f t="shared" si="4"/>
        <v>12.555059759999992</v>
      </c>
      <c r="R25" s="151">
        <f t="shared" si="4"/>
        <v>12.555059759999992</v>
      </c>
      <c r="S25" s="151">
        <f t="shared" si="4"/>
        <v>12.555059759999992</v>
      </c>
      <c r="T25" s="151">
        <f t="shared" si="4"/>
        <v>12.555059759999992</v>
      </c>
      <c r="U25" s="151">
        <f t="shared" si="4"/>
        <v>12.555059759999992</v>
      </c>
      <c r="V25" s="151">
        <f t="shared" si="4"/>
        <v>12.555059759999992</v>
      </c>
      <c r="W25" s="151">
        <f t="shared" si="4"/>
        <v>12.555059759999992</v>
      </c>
      <c r="X25" s="151">
        <f t="shared" si="4"/>
        <v>12.555059759999992</v>
      </c>
      <c r="AB25" s="12">
        <v>19</v>
      </c>
      <c r="AC25" s="18" t="s">
        <v>292</v>
      </c>
    </row>
    <row r="26" spans="6:31" x14ac:dyDescent="0.2">
      <c r="J26" s="14" t="s">
        <v>296</v>
      </c>
      <c r="K26" s="271">
        <f t="shared" ref="K26:X26" si="5">K35*gas.peaker.carbon.emissions_ton_per_MWh*K36/1000000</f>
        <v>0</v>
      </c>
      <c r="L26" s="271">
        <f t="shared" si="5"/>
        <v>0</v>
      </c>
      <c r="M26" s="271">
        <f t="shared" si="5"/>
        <v>0</v>
      </c>
      <c r="N26" s="271">
        <f t="shared" si="5"/>
        <v>0</v>
      </c>
      <c r="O26" s="271">
        <f t="shared" si="5"/>
        <v>0</v>
      </c>
      <c r="P26" s="271">
        <f t="shared" si="5"/>
        <v>0</v>
      </c>
      <c r="Q26" s="271">
        <f t="shared" si="5"/>
        <v>0</v>
      </c>
      <c r="R26" s="271">
        <f t="shared" si="5"/>
        <v>0</v>
      </c>
      <c r="S26" s="271">
        <f t="shared" si="5"/>
        <v>0</v>
      </c>
      <c r="T26" s="271">
        <f t="shared" si="5"/>
        <v>0</v>
      </c>
      <c r="U26" s="271">
        <f t="shared" si="5"/>
        <v>0</v>
      </c>
      <c r="V26" s="271">
        <f t="shared" si="5"/>
        <v>0</v>
      </c>
      <c r="W26" s="271">
        <f t="shared" si="5"/>
        <v>0</v>
      </c>
      <c r="X26" s="271">
        <f t="shared" si="5"/>
        <v>0</v>
      </c>
      <c r="AB26" s="12">
        <v>20</v>
      </c>
      <c r="AC26" s="18" t="s">
        <v>292</v>
      </c>
    </row>
    <row r="27" spans="6:31" x14ac:dyDescent="0.2">
      <c r="AB27" s="12">
        <v>21</v>
      </c>
    </row>
    <row r="28" spans="6:31" x14ac:dyDescent="0.2">
      <c r="F28" s="156" t="s">
        <v>81</v>
      </c>
      <c r="AB28" s="12">
        <v>22</v>
      </c>
    </row>
    <row r="29" spans="6:31" x14ac:dyDescent="0.2">
      <c r="J29" s="14" t="s">
        <v>297</v>
      </c>
      <c r="K29" s="155" cm="1">
        <f t="array" ref="K29:X29">Inputs.CCGT!forecast_ccgt_costs_CA</f>
        <v>1816.6839759791656</v>
      </c>
      <c r="L29" s="155">
        <v>1806.3969772476867</v>
      </c>
      <c r="M29" s="155">
        <v>1781.7081802921375</v>
      </c>
      <c r="N29" s="155">
        <v>1765.2489823217713</v>
      </c>
      <c r="O29" s="155">
        <v>1752.9045838439968</v>
      </c>
      <c r="P29" s="155">
        <v>1738.5027856199263</v>
      </c>
      <c r="Q29" s="155">
        <v>1728.2157868884474</v>
      </c>
      <c r="R29" s="155">
        <v>1717.9287881569685</v>
      </c>
      <c r="S29" s="155">
        <v>1711.7565889180812</v>
      </c>
      <c r="T29" s="155">
        <v>1701.4695901866023</v>
      </c>
      <c r="U29" s="155">
        <v>1695.297390947715</v>
      </c>
      <c r="V29" s="155">
        <v>1687.0677919625318</v>
      </c>
      <c r="W29" s="155">
        <v>1680.8955927236448</v>
      </c>
      <c r="X29" s="155">
        <v>1672.6659937384616</v>
      </c>
      <c r="AB29" s="12">
        <v>23</v>
      </c>
      <c r="AC29" s="18" t="s">
        <v>287</v>
      </c>
    </row>
    <row r="30" spans="6:31" x14ac:dyDescent="0.2">
      <c r="J30" s="14" t="s">
        <v>298</v>
      </c>
      <c r="K30" s="155" cm="1">
        <f t="array" ref="K30:X30">forecast_gas.peaker_fixed_om_costs_CA</f>
        <v>39.94637784951118</v>
      </c>
      <c r="L30" s="155">
        <v>39.94637784951118</v>
      </c>
      <c r="M30" s="155">
        <v>39.94637784951118</v>
      </c>
      <c r="N30" s="155">
        <v>39.94637784951118</v>
      </c>
      <c r="O30" s="155">
        <v>39.94637784951118</v>
      </c>
      <c r="P30" s="155">
        <v>39.94637784951118</v>
      </c>
      <c r="Q30" s="155">
        <v>39.94637784951118</v>
      </c>
      <c r="R30" s="155">
        <v>39.94637784951118</v>
      </c>
      <c r="S30" s="155">
        <v>39.94637784951118</v>
      </c>
      <c r="T30" s="155">
        <v>39.94637784951118</v>
      </c>
      <c r="U30" s="155">
        <v>39.94637784951118</v>
      </c>
      <c r="V30" s="155">
        <v>39.94637784951118</v>
      </c>
      <c r="W30" s="155">
        <v>39.94637784951118</v>
      </c>
      <c r="X30" s="155">
        <v>39.94637784951118</v>
      </c>
      <c r="AB30" s="12">
        <v>24</v>
      </c>
      <c r="AC30" s="18" t="s">
        <v>287</v>
      </c>
    </row>
    <row r="31" spans="6:31" x14ac:dyDescent="0.2">
      <c r="J31" s="14" t="s">
        <v>299</v>
      </c>
      <c r="K31" s="155" cm="1">
        <f t="array" ref="K31:X31">forecast_gas.peaker_var_om_costs_CA</f>
        <v>7.7244533038562855</v>
      </c>
      <c r="L31" s="155">
        <v>7.7244533038562855</v>
      </c>
      <c r="M31" s="155">
        <v>7.7244533038562855</v>
      </c>
      <c r="N31" s="155">
        <v>7.7244533038562855</v>
      </c>
      <c r="O31" s="155">
        <v>7.7244533038562855</v>
      </c>
      <c r="P31" s="155">
        <v>7.7244533038562855</v>
      </c>
      <c r="Q31" s="155">
        <v>7.7244533038562855</v>
      </c>
      <c r="R31" s="155">
        <v>7.7244533038562855</v>
      </c>
      <c r="S31" s="155">
        <v>7.7244533038562855</v>
      </c>
      <c r="T31" s="155">
        <v>7.7244533038562855</v>
      </c>
      <c r="U31" s="155">
        <v>7.7244533038562855</v>
      </c>
      <c r="V31" s="155">
        <v>7.7244533038562855</v>
      </c>
      <c r="W31" s="155">
        <v>7.7244533038562855</v>
      </c>
      <c r="X31" s="155">
        <v>7.7244533038562855</v>
      </c>
      <c r="AB31" s="12">
        <v>25</v>
      </c>
      <c r="AC31" s="18" t="s">
        <v>287</v>
      </c>
    </row>
    <row r="32" spans="6:31" x14ac:dyDescent="0.2">
      <c r="J32" s="14" t="s">
        <v>300</v>
      </c>
      <c r="K32" s="155" cm="1">
        <f t="array" ref="K32:X32">'Inputs.Gas.Peaker'!N56:AA56</f>
        <v>3.8576041666666638</v>
      </c>
      <c r="L32" s="155">
        <v>3.7884374999999979</v>
      </c>
      <c r="M32" s="155">
        <v>3.7558333333333307</v>
      </c>
      <c r="N32" s="155">
        <v>3.7558333333333307</v>
      </c>
      <c r="O32" s="155">
        <v>3.7558333333333307</v>
      </c>
      <c r="P32" s="155">
        <v>3.7558333333333311</v>
      </c>
      <c r="Q32" s="155">
        <v>3.7558333333333311</v>
      </c>
      <c r="R32" s="155">
        <v>3.7558333333333311</v>
      </c>
      <c r="S32" s="155">
        <v>3.7558333333333311</v>
      </c>
      <c r="T32" s="155">
        <v>3.7558333333333311</v>
      </c>
      <c r="U32" s="155">
        <v>3.7558333333333316</v>
      </c>
      <c r="V32" s="155">
        <v>3.7558333333333316</v>
      </c>
      <c r="W32" s="155">
        <v>3.7558333333333316</v>
      </c>
      <c r="X32" s="155">
        <v>3.7558333333333316</v>
      </c>
      <c r="AB32" s="12">
        <v>26</v>
      </c>
      <c r="AC32" s="18" t="s">
        <v>287</v>
      </c>
    </row>
    <row r="33" spans="9:29" x14ac:dyDescent="0.2">
      <c r="J33" s="14" t="s">
        <v>301</v>
      </c>
      <c r="K33" s="155" cm="1">
        <f t="array" ref="K33:X33">Inputs.CCGT!N39:AA39</f>
        <v>24.534362499999983</v>
      </c>
      <c r="L33" s="155">
        <v>24.094462499999988</v>
      </c>
      <c r="M33" s="155">
        <v>23.887099999999982</v>
      </c>
      <c r="N33" s="155">
        <v>23.887099999999982</v>
      </c>
      <c r="O33" s="155">
        <v>23.887099999999982</v>
      </c>
      <c r="P33" s="155">
        <v>23.887099999999986</v>
      </c>
      <c r="Q33" s="155">
        <v>23.887099999999986</v>
      </c>
      <c r="R33" s="155">
        <v>23.887099999999986</v>
      </c>
      <c r="S33" s="155">
        <v>23.887099999999986</v>
      </c>
      <c r="T33" s="155">
        <v>23.887099999999986</v>
      </c>
      <c r="U33" s="155">
        <v>23.887099999999986</v>
      </c>
      <c r="V33" s="155">
        <v>23.887099999999986</v>
      </c>
      <c r="W33" s="155">
        <v>23.887099999999986</v>
      </c>
      <c r="X33" s="155">
        <v>23.887099999999986</v>
      </c>
      <c r="AB33" s="12">
        <v>27</v>
      </c>
      <c r="AC33" s="18" t="s">
        <v>287</v>
      </c>
    </row>
    <row r="34" spans="9:29" x14ac:dyDescent="0.2">
      <c r="J34" s="14" t="s">
        <v>302</v>
      </c>
      <c r="K34" s="238">
        <f>K14</f>
        <v>0.6</v>
      </c>
      <c r="L34" s="238">
        <f t="shared" ref="L34:X34" si="6">L14</f>
        <v>0.6</v>
      </c>
      <c r="M34" s="238">
        <f t="shared" si="6"/>
        <v>0.6</v>
      </c>
      <c r="N34" s="238">
        <f t="shared" si="6"/>
        <v>0.6</v>
      </c>
      <c r="O34" s="238">
        <f t="shared" si="6"/>
        <v>0.6</v>
      </c>
      <c r="P34" s="238">
        <f t="shared" si="6"/>
        <v>0.6</v>
      </c>
      <c r="Q34" s="238">
        <f t="shared" si="6"/>
        <v>0.6</v>
      </c>
      <c r="R34" s="238">
        <f t="shared" si="6"/>
        <v>0.6</v>
      </c>
      <c r="S34" s="238">
        <f t="shared" si="6"/>
        <v>0.6</v>
      </c>
      <c r="T34" s="238">
        <f t="shared" si="6"/>
        <v>0.6</v>
      </c>
      <c r="U34" s="238">
        <f t="shared" si="6"/>
        <v>0.6</v>
      </c>
      <c r="V34" s="238">
        <f t="shared" si="6"/>
        <v>0.6</v>
      </c>
      <c r="W34" s="238">
        <f t="shared" si="6"/>
        <v>0.6</v>
      </c>
      <c r="X34" s="238">
        <f t="shared" si="6"/>
        <v>0.6</v>
      </c>
      <c r="AB34" s="12">
        <v>28</v>
      </c>
      <c r="AC34" s="18" t="s">
        <v>36</v>
      </c>
    </row>
    <row r="35" spans="9:29" x14ac:dyDescent="0.2">
      <c r="J35" s="14" t="s">
        <v>303</v>
      </c>
      <c r="K35" s="239">
        <f t="shared" ref="K35:X35" si="7">K34*8760*K12</f>
        <v>525600</v>
      </c>
      <c r="L35" s="239">
        <f t="shared" si="7"/>
        <v>525600</v>
      </c>
      <c r="M35" s="239">
        <f t="shared" si="7"/>
        <v>525600</v>
      </c>
      <c r="N35" s="239">
        <f t="shared" si="7"/>
        <v>525600</v>
      </c>
      <c r="O35" s="239">
        <f t="shared" si="7"/>
        <v>525600</v>
      </c>
      <c r="P35" s="239">
        <f t="shared" si="7"/>
        <v>525600</v>
      </c>
      <c r="Q35" s="239">
        <f t="shared" si="7"/>
        <v>525600</v>
      </c>
      <c r="R35" s="239">
        <f t="shared" si="7"/>
        <v>525600</v>
      </c>
      <c r="S35" s="239">
        <f t="shared" si="7"/>
        <v>525600</v>
      </c>
      <c r="T35" s="239">
        <f t="shared" si="7"/>
        <v>525600</v>
      </c>
      <c r="U35" s="239">
        <f t="shared" si="7"/>
        <v>525600</v>
      </c>
      <c r="V35" s="239">
        <f t="shared" si="7"/>
        <v>525600</v>
      </c>
      <c r="W35" s="239">
        <f t="shared" si="7"/>
        <v>525600</v>
      </c>
      <c r="X35" s="239">
        <f t="shared" si="7"/>
        <v>525600</v>
      </c>
      <c r="AB35" s="12">
        <v>29</v>
      </c>
      <c r="AC35" s="18" t="s">
        <v>292</v>
      </c>
    </row>
    <row r="36" spans="9:29" x14ac:dyDescent="0.2">
      <c r="J36" s="14" t="s">
        <v>25</v>
      </c>
      <c r="K36" s="155"/>
      <c r="L36" s="155"/>
      <c r="M36" s="155"/>
      <c r="N36" s="155"/>
      <c r="O36" s="155"/>
      <c r="P36" s="155"/>
      <c r="Q36" s="155"/>
      <c r="R36" s="155"/>
      <c r="S36" s="155"/>
      <c r="T36" s="155"/>
      <c r="U36" s="155"/>
      <c r="V36" s="155"/>
      <c r="W36" s="155"/>
      <c r="X36" s="155"/>
      <c r="AB36" s="12">
        <v>30</v>
      </c>
      <c r="AC36" s="18" t="s">
        <v>287</v>
      </c>
    </row>
    <row r="37" spans="9:29" x14ac:dyDescent="0.2">
      <c r="K37" s="169"/>
      <c r="L37" s="169"/>
      <c r="M37" s="169"/>
      <c r="N37" s="169"/>
      <c r="O37" s="169"/>
      <c r="P37" s="169"/>
      <c r="Q37" s="169"/>
      <c r="R37" s="169"/>
      <c r="S37" s="169"/>
      <c r="T37" s="169"/>
      <c r="U37" s="169"/>
      <c r="V37" s="169"/>
      <c r="W37" s="169"/>
      <c r="X37" s="169"/>
      <c r="AB37" s="12">
        <v>31</v>
      </c>
    </row>
    <row r="38" spans="9:29" x14ac:dyDescent="0.2">
      <c r="I38" s="19" t="s">
        <v>100</v>
      </c>
      <c r="J38" s="20"/>
      <c r="K38" s="21"/>
      <c r="L38" s="21"/>
      <c r="M38" s="21"/>
      <c r="N38" s="21"/>
      <c r="O38" s="21"/>
      <c r="P38" s="21"/>
      <c r="Q38" s="21"/>
      <c r="R38" s="21"/>
      <c r="S38" s="21"/>
      <c r="T38" s="21"/>
      <c r="U38" s="21"/>
      <c r="V38" s="21"/>
      <c r="W38" s="21"/>
      <c r="X38" s="21"/>
      <c r="AB38" s="12">
        <v>32</v>
      </c>
    </row>
    <row r="39" spans="9:29" x14ac:dyDescent="0.2">
      <c r="I39" s="19"/>
      <c r="J39" s="160" t="s">
        <v>101</v>
      </c>
      <c r="K39" s="204">
        <f>((project.interest_rate*(1+project.interest_rate)^project.debt_period)/(((1+project.interest_rate)^project.debt_period)-1))</f>
        <v>0.17913501805901069</v>
      </c>
      <c r="L39" s="204">
        <f t="shared" ref="L39:X39" si="8">((project.interest_rate*(1+project.interest_rate)^project.debt_period)/(((1+project.interest_rate)^project.debt_period)-1))</f>
        <v>0.17913501805901069</v>
      </c>
      <c r="M39" s="204">
        <f t="shared" si="8"/>
        <v>0.17913501805901069</v>
      </c>
      <c r="N39" s="204">
        <f t="shared" si="8"/>
        <v>0.17913501805901069</v>
      </c>
      <c r="O39" s="204">
        <f t="shared" si="8"/>
        <v>0.17913501805901069</v>
      </c>
      <c r="P39" s="204">
        <f t="shared" si="8"/>
        <v>0.17913501805901069</v>
      </c>
      <c r="Q39" s="204">
        <f t="shared" si="8"/>
        <v>0.17913501805901069</v>
      </c>
      <c r="R39" s="204">
        <f t="shared" si="8"/>
        <v>0.17913501805901069</v>
      </c>
      <c r="S39" s="204">
        <f t="shared" si="8"/>
        <v>0.17913501805901069</v>
      </c>
      <c r="T39" s="204">
        <f t="shared" si="8"/>
        <v>0.17913501805901069</v>
      </c>
      <c r="U39" s="204">
        <f t="shared" si="8"/>
        <v>0.17913501805901069</v>
      </c>
      <c r="V39" s="204">
        <f t="shared" si="8"/>
        <v>0.17913501805901069</v>
      </c>
      <c r="W39" s="204">
        <f t="shared" si="8"/>
        <v>0.17913501805901069</v>
      </c>
      <c r="X39" s="204">
        <f t="shared" si="8"/>
        <v>0.17913501805901069</v>
      </c>
      <c r="AB39" s="12">
        <v>33</v>
      </c>
      <c r="AC39" s="18" t="s">
        <v>102</v>
      </c>
    </row>
    <row r="40" spans="9:29" x14ac:dyDescent="0.2">
      <c r="I40" s="19"/>
      <c r="J40" s="160" t="s">
        <v>103</v>
      </c>
      <c r="K40" s="159">
        <f t="shared" ref="K40:X40" si="9">NPV(jurisdiction.discount_rate,_xlfn.MAKEARRAY(1,project.debt_period,_xlfn.LAMBDA(_xlpm.r,_xlpm.c,K$39*K$7*(1-project.downpayment))))+NPV(jurisdiction.discount_rate,_xlfn.MAKEARRAY(1,K13,_xlfn.LAMBDA(_xlpm.r,_xlpm.c,K$8)))+K$7*project.downpayment</f>
        <v>5612.3094108200257</v>
      </c>
      <c r="L40" s="159">
        <f t="shared" si="9"/>
        <v>5560.9254728917977</v>
      </c>
      <c r="M40" s="159">
        <f t="shared" si="9"/>
        <v>5515.2523340740154</v>
      </c>
      <c r="N40" s="159">
        <f t="shared" si="9"/>
        <v>5497.4559366309786</v>
      </c>
      <c r="O40" s="159">
        <f t="shared" si="9"/>
        <v>5484.1086385486997</v>
      </c>
      <c r="P40" s="159">
        <f t="shared" si="9"/>
        <v>5468.5367907860418</v>
      </c>
      <c r="Q40" s="159">
        <f t="shared" si="9"/>
        <v>5457.4140423841427</v>
      </c>
      <c r="R40" s="159">
        <f t="shared" si="9"/>
        <v>5446.2912939822445</v>
      </c>
      <c r="S40" s="159">
        <f t="shared" si="9"/>
        <v>5439.6176449411059</v>
      </c>
      <c r="T40" s="159">
        <f t="shared" si="9"/>
        <v>5428.4948965392068</v>
      </c>
      <c r="U40" s="159">
        <f t="shared" si="9"/>
        <v>5421.8212474980674</v>
      </c>
      <c r="V40" s="159">
        <f t="shared" si="9"/>
        <v>5412.923048776549</v>
      </c>
      <c r="W40" s="159">
        <f t="shared" si="9"/>
        <v>5406.2493997354104</v>
      </c>
      <c r="X40" s="159">
        <f t="shared" si="9"/>
        <v>5397.3512010138911</v>
      </c>
      <c r="AB40" s="12">
        <v>34</v>
      </c>
      <c r="AC40" s="18" t="s">
        <v>104</v>
      </c>
    </row>
    <row r="41" spans="9:29" x14ac:dyDescent="0.2">
      <c r="I41" s="19"/>
      <c r="J41" s="160" t="s">
        <v>105</v>
      </c>
      <c r="K41" s="273" cm="1">
        <f t="array" ref="K41">NPV(jurisdiction.discount_rate,_xlfn.MAKEARRAY(1,K$13,_xlfn.LAMBDA(_xlpm.r,_xlpm.c,(0.995^(_xlpm.c-1)))))*K$14*8760</f>
        <v>86896.201374753524</v>
      </c>
      <c r="L41" s="273" cm="1">
        <f t="array" ref="L41">NPV(jurisdiction.discount_rate,_xlfn.MAKEARRAY(1,L$13,_xlfn.LAMBDA(_xlpm.r,_xlpm.c,(0.995^(_xlpm.c-1)))))*L$14*8760</f>
        <v>86896.201374753524</v>
      </c>
      <c r="M41" s="273" cm="1">
        <f t="array" ref="M41">NPV(jurisdiction.discount_rate,_xlfn.MAKEARRAY(1,M$13,_xlfn.LAMBDA(_xlpm.r,_xlpm.c,(0.995^(_xlpm.c-1)))))*M$14*8760</f>
        <v>86896.201374753524</v>
      </c>
      <c r="N41" s="273" cm="1">
        <f t="array" ref="N41">NPV(jurisdiction.discount_rate,_xlfn.MAKEARRAY(1,N$13,_xlfn.LAMBDA(_xlpm.r,_xlpm.c,(0.995^(_xlpm.c-1)))))*N$14*8760</f>
        <v>86896.201374753524</v>
      </c>
      <c r="O41" s="273" cm="1">
        <f t="array" ref="O41">NPV(jurisdiction.discount_rate,_xlfn.MAKEARRAY(1,O$13,_xlfn.LAMBDA(_xlpm.r,_xlpm.c,(0.995^(_xlpm.c-1)))))*O$14*8760</f>
        <v>86896.201374753524</v>
      </c>
      <c r="P41" s="273" cm="1">
        <f t="array" ref="P41">NPV(jurisdiction.discount_rate,_xlfn.MAKEARRAY(1,P$13,_xlfn.LAMBDA(_xlpm.r,_xlpm.c,(0.995^(_xlpm.c-1)))))*P$14*8760</f>
        <v>86896.201374753524</v>
      </c>
      <c r="Q41" s="273" cm="1">
        <f t="array" ref="Q41">NPV(jurisdiction.discount_rate,_xlfn.MAKEARRAY(1,Q$13,_xlfn.LAMBDA(_xlpm.r,_xlpm.c,(0.995^(_xlpm.c-1)))))*Q$14*8760</f>
        <v>86896.201374753524</v>
      </c>
      <c r="R41" s="273" cm="1">
        <f t="array" ref="R41">NPV(jurisdiction.discount_rate,_xlfn.MAKEARRAY(1,R$13,_xlfn.LAMBDA(_xlpm.r,_xlpm.c,(0.995^(_xlpm.c-1)))))*R$14*8760</f>
        <v>86896.201374753524</v>
      </c>
      <c r="S41" s="273" cm="1">
        <f t="array" ref="S41">NPV(jurisdiction.discount_rate,_xlfn.MAKEARRAY(1,S$13,_xlfn.LAMBDA(_xlpm.r,_xlpm.c,(0.995^(_xlpm.c-1)))))*S$14*8760</f>
        <v>86896.201374753524</v>
      </c>
      <c r="T41" s="273" cm="1">
        <f t="array" ref="T41">NPV(jurisdiction.discount_rate,_xlfn.MAKEARRAY(1,T$13,_xlfn.LAMBDA(_xlpm.r,_xlpm.c,(0.995^(_xlpm.c-1)))))*T$14*8760</f>
        <v>86896.201374753524</v>
      </c>
      <c r="U41" s="273" cm="1">
        <f t="array" ref="U41">NPV(jurisdiction.discount_rate,_xlfn.MAKEARRAY(1,U$13,_xlfn.LAMBDA(_xlpm.r,_xlpm.c,(0.995^(_xlpm.c-1)))))*U$14*8760</f>
        <v>86896.201374753524</v>
      </c>
      <c r="V41" s="273" cm="1">
        <f t="array" ref="V41">NPV(jurisdiction.discount_rate,_xlfn.MAKEARRAY(1,V$13,_xlfn.LAMBDA(_xlpm.r,_xlpm.c,(0.995^(_xlpm.c-1)))))*V$14*8760</f>
        <v>86896.201374753524</v>
      </c>
      <c r="W41" s="273" cm="1">
        <f t="array" ref="W41">NPV(jurisdiction.discount_rate,_xlfn.MAKEARRAY(1,W$13,_xlfn.LAMBDA(_xlpm.r,_xlpm.c,(0.995^(_xlpm.c-1)))))*W$14*8760</f>
        <v>86896.201374753524</v>
      </c>
      <c r="X41" s="273" cm="1">
        <f t="array" ref="X41">NPV(jurisdiction.discount_rate,_xlfn.MAKEARRAY(1,X$13,_xlfn.LAMBDA(_xlpm.r,_xlpm.c,(0.995^(_xlpm.c-1)))))*X$14*8760</f>
        <v>86896.201374753524</v>
      </c>
      <c r="AB41" s="12">
        <v>35</v>
      </c>
      <c r="AC41" s="18" t="s">
        <v>106</v>
      </c>
    </row>
    <row r="42" spans="9:29" x14ac:dyDescent="0.2">
      <c r="I42" s="19"/>
      <c r="J42" s="160" t="s">
        <v>107</v>
      </c>
      <c r="K42" s="287">
        <f>K40/K41</f>
        <v>6.4586360761801992E-2</v>
      </c>
      <c r="L42" s="287">
        <f t="shared" ref="L42:X42" si="10">L40/L41</f>
        <v>6.3995035282491036E-2</v>
      </c>
      <c r="M42" s="287">
        <f t="shared" si="10"/>
        <v>6.3469429581721568E-2</v>
      </c>
      <c r="N42" s="287">
        <f t="shared" si="10"/>
        <v>6.3264628944162196E-2</v>
      </c>
      <c r="O42" s="287">
        <f t="shared" si="10"/>
        <v>6.3111028465992661E-2</v>
      </c>
      <c r="P42" s="287">
        <f t="shared" si="10"/>
        <v>6.2931827908128193E-2</v>
      </c>
      <c r="Q42" s="287">
        <f t="shared" si="10"/>
        <v>6.2803827509653576E-2</v>
      </c>
      <c r="R42" s="287">
        <f t="shared" si="10"/>
        <v>6.2675827111178972E-2</v>
      </c>
      <c r="S42" s="287">
        <f t="shared" si="10"/>
        <v>6.2599026872094218E-2</v>
      </c>
      <c r="T42" s="287">
        <f t="shared" si="10"/>
        <v>6.2471026473619594E-2</v>
      </c>
      <c r="U42" s="287">
        <f t="shared" si="10"/>
        <v>6.2394226234534826E-2</v>
      </c>
      <c r="V42" s="287">
        <f t="shared" si="10"/>
        <v>6.229182591575514E-2</v>
      </c>
      <c r="W42" s="287">
        <f t="shared" si="10"/>
        <v>6.221502567667038E-2</v>
      </c>
      <c r="X42" s="287">
        <f t="shared" si="10"/>
        <v>6.2112625357890687E-2</v>
      </c>
      <c r="AB42" s="12">
        <v>36</v>
      </c>
      <c r="AC42" s="18" t="s">
        <v>108</v>
      </c>
    </row>
    <row r="43" spans="9:29" x14ac:dyDescent="0.2">
      <c r="AB43" s="12"/>
    </row>
    <row r="44" spans="9:29" x14ac:dyDescent="0.2">
      <c r="AB44" s="12"/>
    </row>
    <row r="45" spans="9:29" x14ac:dyDescent="0.2">
      <c r="AB45" s="12"/>
    </row>
    <row r="46" spans="9:29" x14ac:dyDescent="0.2">
      <c r="AB46" s="12"/>
    </row>
    <row r="47" spans="9:29" x14ac:dyDescent="0.2">
      <c r="AB47" s="12"/>
    </row>
    <row r="48" spans="9:29" x14ac:dyDescent="0.2">
      <c r="AB48" s="12"/>
    </row>
    <row r="49" spans="28:28" x14ac:dyDescent="0.2">
      <c r="AB49" s="12"/>
    </row>
    <row r="50" spans="28:28" x14ac:dyDescent="0.2">
      <c r="AB50" s="12"/>
    </row>
    <row r="51" spans="28:28" x14ac:dyDescent="0.2">
      <c r="AB51" s="12"/>
    </row>
    <row r="52" spans="28:28" x14ac:dyDescent="0.2">
      <c r="AB52" s="12"/>
    </row>
    <row r="53" spans="28:28" x14ac:dyDescent="0.2">
      <c r="AB53" s="12"/>
    </row>
    <row r="54" spans="28:28" x14ac:dyDescent="0.2">
      <c r="AB54" s="12"/>
    </row>
    <row r="55" spans="28:28" x14ac:dyDescent="0.2">
      <c r="AB55" s="12"/>
    </row>
    <row r="56" spans="28:28" x14ac:dyDescent="0.2">
      <c r="AB56" s="12"/>
    </row>
    <row r="57" spans="28:28" x14ac:dyDescent="0.2">
      <c r="AB57" s="12"/>
    </row>
    <row r="58" spans="28:28" x14ac:dyDescent="0.2">
      <c r="AB58" s="12"/>
    </row>
    <row r="59" spans="28:28" x14ac:dyDescent="0.2">
      <c r="AB59" s="12"/>
    </row>
    <row r="60" spans="28:28" x14ac:dyDescent="0.2">
      <c r="AB60" s="12"/>
    </row>
    <row r="61" spans="28:28" x14ac:dyDescent="0.2">
      <c r="AB61" s="12"/>
    </row>
    <row r="62" spans="28:28" x14ac:dyDescent="0.2">
      <c r="AB62" s="12"/>
    </row>
    <row r="63" spans="28:28" x14ac:dyDescent="0.2">
      <c r="AB63" s="12"/>
    </row>
    <row r="64" spans="28:28" x14ac:dyDescent="0.2">
      <c r="AB64" s="12"/>
    </row>
    <row r="65" spans="28:28" x14ac:dyDescent="0.2">
      <c r="AB65" s="12"/>
    </row>
    <row r="66" spans="28:28" x14ac:dyDescent="0.2">
      <c r="AB66" s="12"/>
    </row>
    <row r="67" spans="28:28" x14ac:dyDescent="0.2">
      <c r="AB67" s="12"/>
    </row>
    <row r="68" spans="28:28" x14ac:dyDescent="0.2">
      <c r="AB68" s="12"/>
    </row>
    <row r="69" spans="28:28" x14ac:dyDescent="0.2">
      <c r="AB69" s="12"/>
    </row>
    <row r="70" spans="28:28" x14ac:dyDescent="0.2">
      <c r="AB70" s="12"/>
    </row>
    <row r="71" spans="28:28" x14ac:dyDescent="0.2">
      <c r="AB71" s="12"/>
    </row>
    <row r="72" spans="28:28" x14ac:dyDescent="0.2">
      <c r="AB72" s="12"/>
    </row>
  </sheetData>
  <mergeCells count="1">
    <mergeCell ref="B3:E3"/>
  </mergeCell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68B94-21B9-4155-B6AE-6219058C9E22}">
  <sheetPr>
    <tabColor rgb="FF003766"/>
  </sheetPr>
  <dimension ref="B8:E22"/>
  <sheetViews>
    <sheetView workbookViewId="0">
      <selection activeCell="H83" sqref="H83"/>
    </sheetView>
  </sheetViews>
  <sheetFormatPr baseColWidth="10" defaultColWidth="8.83203125" defaultRowHeight="15" x14ac:dyDescent="0.2"/>
  <cols>
    <col min="1" max="4" width="2.6640625" style="296" customWidth="1"/>
    <col min="5" max="5" width="20.6640625" style="296" customWidth="1"/>
    <col min="6" max="16384" width="8.83203125" style="296"/>
  </cols>
  <sheetData>
    <row r="8" spans="2:5" ht="16" x14ac:dyDescent="0.2">
      <c r="B8" s="305" t="s">
        <v>304</v>
      </c>
    </row>
    <row r="9" spans="2:5" ht="21" x14ac:dyDescent="0.25">
      <c r="B9" s="295" t="s">
        <v>305</v>
      </c>
    </row>
    <row r="14" spans="2:5" ht="19" x14ac:dyDescent="0.25">
      <c r="B14" s="300" t="str">
        <f>_Cover!B14</f>
        <v>Renewable Cost Forecast</v>
      </c>
    </row>
    <row r="15" spans="2:5" x14ac:dyDescent="0.2">
      <c r="B15" s="330" t="str">
        <f ca="1">HYPERLINK("#"&amp;CELL("address", _Contents!B3 ), "Go to Table of Contents")</f>
        <v>Go to Table of Contents</v>
      </c>
      <c r="C15" s="330"/>
      <c r="D15" s="330"/>
      <c r="E15" s="330"/>
    </row>
    <row r="22" spans="2:2" x14ac:dyDescent="0.2">
      <c r="B22" s="298" t="s">
        <v>4</v>
      </c>
    </row>
  </sheetData>
  <mergeCells count="1">
    <mergeCell ref="B15:E1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24152-2E73-40B3-B006-3EB1A974917F}">
  <dimension ref="B1:AG367"/>
  <sheetViews>
    <sheetView topLeftCell="A66" workbookViewId="0">
      <selection activeCell="H83" sqref="H83"/>
    </sheetView>
  </sheetViews>
  <sheetFormatPr baseColWidth="10" defaultColWidth="8.83203125" defaultRowHeight="16" outlineLevelRow="1" x14ac:dyDescent="0.2"/>
  <cols>
    <col min="1" max="1" width="2.6640625" customWidth="1"/>
    <col min="2" max="2" width="2.6640625" style="3" customWidth="1"/>
    <col min="3" max="3" width="2.6640625" style="4" customWidth="1"/>
    <col min="4" max="4" width="2.6640625" style="2" customWidth="1"/>
    <col min="5" max="5" width="20.6640625" customWidth="1"/>
    <col min="6" max="10" width="2.6640625" style="32" customWidth="1"/>
    <col min="11" max="11" width="40.6640625" style="32" customWidth="1"/>
    <col min="12" max="12" width="14.5" style="32" bestFit="1" customWidth="1"/>
    <col min="13" max="13" width="15" style="32" bestFit="1" customWidth="1"/>
    <col min="14" max="14" width="12.33203125" style="32" bestFit="1" customWidth="1"/>
    <col min="15" max="15" width="9" style="32" bestFit="1" customWidth="1"/>
    <col min="16" max="17" width="11.83203125" style="32" bestFit="1" customWidth="1"/>
    <col min="18" max="27" width="9" style="32" bestFit="1" customWidth="1"/>
    <col min="28" max="30" width="2.6640625" style="32" customWidth="1"/>
    <col min="31" max="31" width="28.6640625" style="32" customWidth="1"/>
    <col min="32" max="32" width="30" style="32" customWidth="1"/>
    <col min="33" max="35" width="2.6640625" customWidth="1"/>
  </cols>
  <sheetData>
    <row r="1" spans="2:33" ht="21" x14ac:dyDescent="0.25">
      <c r="B1" s="5" t="s">
        <v>306</v>
      </c>
    </row>
    <row r="2" spans="2:33" ht="19" x14ac:dyDescent="0.25">
      <c r="B2" s="1" t="str">
        <f>_Cover!B14</f>
        <v>Renewable Cost Forecast</v>
      </c>
    </row>
    <row r="3" spans="2:33" ht="15" x14ac:dyDescent="0.2">
      <c r="B3" s="331" t="str">
        <f ca="1">HYPERLINK("#"&amp;CELL("address", _Contents!B3 ), "Go to Table of Contents")</f>
        <v>Go to Table of Contents</v>
      </c>
      <c r="C3" s="331"/>
      <c r="D3" s="331"/>
      <c r="E3" s="331"/>
      <c r="F3" s="56"/>
      <c r="G3" s="62"/>
      <c r="H3" s="56"/>
      <c r="I3" s="56"/>
      <c r="J3" s="56"/>
    </row>
    <row r="4" spans="2:33" x14ac:dyDescent="0.2">
      <c r="L4" s="48">
        <v>2020</v>
      </c>
      <c r="M4" s="48">
        <v>2021</v>
      </c>
      <c r="N4" s="48">
        <v>2022</v>
      </c>
      <c r="O4" s="48">
        <v>2023</v>
      </c>
      <c r="P4" s="48">
        <v>2024</v>
      </c>
      <c r="Q4" s="48">
        <v>2025</v>
      </c>
      <c r="R4" s="48">
        <v>2026</v>
      </c>
      <c r="S4" s="48">
        <v>2027</v>
      </c>
      <c r="T4" s="48">
        <v>2028</v>
      </c>
      <c r="U4" s="48">
        <v>2029</v>
      </c>
      <c r="V4" s="48">
        <v>2030</v>
      </c>
      <c r="W4" s="48">
        <v>2031</v>
      </c>
      <c r="X4" s="48">
        <v>2032</v>
      </c>
      <c r="Y4" s="48">
        <v>2033</v>
      </c>
      <c r="Z4" s="48">
        <v>2034</v>
      </c>
      <c r="AA4" s="48">
        <v>2035</v>
      </c>
    </row>
    <row r="6" spans="2:33" x14ac:dyDescent="0.2">
      <c r="P6" s="55"/>
      <c r="Q6" s="55"/>
      <c r="R6" s="55"/>
    </row>
    <row r="8" spans="2:33" x14ac:dyDescent="0.2">
      <c r="B8" s="63"/>
      <c r="C8" s="64"/>
      <c r="D8" s="65"/>
      <c r="G8"/>
      <c r="H8" s="71" t="s">
        <v>307</v>
      </c>
      <c r="AE8" s="48" t="s">
        <v>308</v>
      </c>
      <c r="AF8" s="48" t="s">
        <v>309</v>
      </c>
      <c r="AG8" t="s">
        <v>272</v>
      </c>
    </row>
    <row r="9" spans="2:33" outlineLevel="1" x14ac:dyDescent="0.2">
      <c r="G9" s="57"/>
      <c r="H9" s="52"/>
      <c r="I9" s="80" t="s">
        <v>310</v>
      </c>
      <c r="J9" s="80"/>
      <c r="K9" s="81"/>
      <c r="L9" s="81"/>
      <c r="M9" s="81"/>
      <c r="N9" s="81"/>
      <c r="O9" s="81"/>
      <c r="P9" s="81"/>
      <c r="Q9" s="81"/>
      <c r="R9" s="81"/>
      <c r="S9" s="81"/>
      <c r="T9" s="81"/>
      <c r="U9" s="81"/>
      <c r="V9" s="81"/>
      <c r="W9" s="81"/>
      <c r="X9" s="81"/>
      <c r="Y9" s="81"/>
      <c r="Z9" s="81"/>
      <c r="AA9" s="81"/>
      <c r="AG9" t="s">
        <v>272</v>
      </c>
    </row>
    <row r="10" spans="2:33" outlineLevel="1" x14ac:dyDescent="0.2">
      <c r="B10" s="63"/>
      <c r="C10" s="64"/>
      <c r="D10" s="65"/>
      <c r="G10" s="57"/>
      <c r="H10" s="52"/>
      <c r="I10" s="81"/>
      <c r="J10" s="84" t="s">
        <v>311</v>
      </c>
      <c r="K10" s="81"/>
      <c r="L10" s="119"/>
      <c r="M10" s="119"/>
      <c r="N10" s="119"/>
      <c r="O10" s="119"/>
      <c r="P10" s="119"/>
      <c r="Q10" s="119"/>
      <c r="R10" s="119"/>
      <c r="S10" s="119"/>
      <c r="T10" s="119"/>
      <c r="U10" s="119"/>
      <c r="V10" s="119"/>
      <c r="W10" s="119"/>
      <c r="X10" s="119"/>
      <c r="Y10" s="119"/>
      <c r="Z10" s="119"/>
      <c r="AA10" s="119"/>
      <c r="AE10" s="32" t="s">
        <v>312</v>
      </c>
      <c r="AF10" s="73" t="s">
        <v>313</v>
      </c>
      <c r="AG10" t="s">
        <v>272</v>
      </c>
    </row>
    <row r="11" spans="2:33" outlineLevel="1" x14ac:dyDescent="0.2">
      <c r="B11" s="63"/>
      <c r="C11" s="64"/>
      <c r="D11" s="65"/>
      <c r="G11" s="57"/>
      <c r="H11" s="52"/>
      <c r="I11" s="81"/>
      <c r="J11" s="81"/>
      <c r="K11" s="125" t="s">
        <v>314</v>
      </c>
      <c r="L11" s="148">
        <v>100</v>
      </c>
      <c r="M11" s="117"/>
      <c r="N11" s="117"/>
      <c r="O11" s="117"/>
      <c r="P11" s="117"/>
      <c r="Q11" s="117"/>
      <c r="R11" s="117"/>
      <c r="S11" s="117">
        <v>74</v>
      </c>
      <c r="T11" s="117"/>
      <c r="U11" s="117"/>
      <c r="V11" s="117">
        <v>67</v>
      </c>
      <c r="W11" s="117"/>
      <c r="X11" s="117"/>
      <c r="Y11" s="117"/>
      <c r="Z11" s="117"/>
      <c r="AA11" s="117"/>
      <c r="AE11" s="32" t="s">
        <v>315</v>
      </c>
      <c r="AG11" t="s">
        <v>272</v>
      </c>
    </row>
    <row r="12" spans="2:33" outlineLevel="1" x14ac:dyDescent="0.2">
      <c r="B12" s="63"/>
      <c r="C12" s="64"/>
      <c r="D12" s="65"/>
      <c r="G12" s="57"/>
      <c r="H12" s="52"/>
      <c r="I12" s="81"/>
      <c r="J12" s="81"/>
      <c r="K12" s="126" t="s">
        <v>316</v>
      </c>
      <c r="L12" s="148">
        <v>97</v>
      </c>
      <c r="M12" s="117"/>
      <c r="N12" s="117"/>
      <c r="O12" s="117"/>
      <c r="P12" s="117"/>
      <c r="Q12" s="117"/>
      <c r="R12" s="148"/>
      <c r="S12" s="148">
        <v>70</v>
      </c>
      <c r="T12" s="148"/>
      <c r="U12" s="148"/>
      <c r="V12" s="148">
        <v>67</v>
      </c>
      <c r="W12" s="148"/>
      <c r="X12" s="117"/>
      <c r="Y12" s="117"/>
      <c r="Z12" s="117"/>
      <c r="AA12" s="117"/>
      <c r="AE12" s="32" t="s">
        <v>317</v>
      </c>
      <c r="AG12" t="s">
        <v>272</v>
      </c>
    </row>
    <row r="13" spans="2:33" outlineLevel="1" x14ac:dyDescent="0.2">
      <c r="B13" s="63"/>
      <c r="C13" s="64"/>
      <c r="D13" s="65"/>
      <c r="G13" s="57"/>
      <c r="H13" s="52"/>
      <c r="I13" s="81"/>
      <c r="J13" s="81"/>
      <c r="K13" s="126" t="s">
        <v>318</v>
      </c>
      <c r="L13" s="148">
        <v>83</v>
      </c>
      <c r="M13" s="117"/>
      <c r="N13" s="117"/>
      <c r="O13" s="117"/>
      <c r="P13" s="117"/>
      <c r="Q13" s="117"/>
      <c r="R13" s="148"/>
      <c r="S13" s="148">
        <v>68</v>
      </c>
      <c r="T13" s="148"/>
      <c r="U13" s="148"/>
      <c r="V13" s="148">
        <v>65</v>
      </c>
      <c r="W13" s="148"/>
      <c r="X13" s="117"/>
      <c r="Y13" s="117"/>
      <c r="Z13" s="117"/>
      <c r="AA13" s="117"/>
      <c r="AG13" t="s">
        <v>272</v>
      </c>
    </row>
    <row r="14" spans="2:33" outlineLevel="1" x14ac:dyDescent="0.2">
      <c r="B14" s="63"/>
      <c r="C14" s="64"/>
      <c r="D14" s="65"/>
      <c r="G14" s="57"/>
      <c r="H14" s="52"/>
      <c r="I14" s="81"/>
      <c r="J14" s="81"/>
      <c r="K14" s="81"/>
      <c r="L14" s="117"/>
      <c r="M14" s="117"/>
      <c r="N14" s="117"/>
      <c r="O14" s="117"/>
      <c r="P14" s="117"/>
      <c r="Q14" s="117"/>
      <c r="R14" s="148"/>
      <c r="S14" s="148"/>
      <c r="T14" s="148"/>
      <c r="U14" s="148"/>
      <c r="V14" s="148"/>
      <c r="W14" s="148"/>
      <c r="X14" s="117"/>
      <c r="Y14" s="117"/>
      <c r="Z14" s="117"/>
      <c r="AA14" s="117"/>
      <c r="AG14" t="s">
        <v>272</v>
      </c>
    </row>
    <row r="15" spans="2:33" outlineLevel="1" x14ac:dyDescent="0.2">
      <c r="B15" s="63"/>
      <c r="C15" s="64"/>
      <c r="D15" s="65"/>
      <c r="G15" s="57"/>
      <c r="H15" s="52"/>
      <c r="I15" s="81"/>
      <c r="J15" s="81"/>
      <c r="K15" s="125" t="s">
        <v>319</v>
      </c>
      <c r="L15" s="86">
        <f>INDEX(US.CPI,MATCH(2022,CPI.years,0))/INDEX(US.CPI,MATCH(2018,CPI.years,0))</f>
        <v>1.0858711909379617</v>
      </c>
      <c r="M15" s="117"/>
      <c r="N15" s="117"/>
      <c r="O15" s="117"/>
      <c r="P15" s="117"/>
      <c r="Q15" s="117"/>
      <c r="R15" s="117"/>
      <c r="S15" s="117"/>
      <c r="T15" s="117"/>
      <c r="U15" s="117"/>
      <c r="V15" s="117"/>
      <c r="W15" s="117"/>
      <c r="X15" s="117"/>
      <c r="Y15" s="117"/>
      <c r="Z15" s="117"/>
      <c r="AA15" s="117"/>
      <c r="AG15" t="s">
        <v>272</v>
      </c>
    </row>
    <row r="16" spans="2:33" outlineLevel="1" x14ac:dyDescent="0.2">
      <c r="B16" s="63"/>
      <c r="C16" s="64"/>
      <c r="D16" s="65"/>
      <c r="G16" s="57"/>
      <c r="H16" s="52"/>
      <c r="I16" s="81"/>
      <c r="J16" s="81"/>
      <c r="K16" s="125" t="s">
        <v>320</v>
      </c>
      <c r="L16" s="148">
        <f>L11*$L$15*$L$24</f>
        <v>157.81327974965043</v>
      </c>
      <c r="M16" s="148"/>
      <c r="N16" s="148"/>
      <c r="O16" s="148"/>
      <c r="P16" s="148"/>
      <c r="Q16" s="148"/>
      <c r="R16" s="148"/>
      <c r="S16" s="149">
        <f>S11*$L$15*$L$24</f>
        <v>116.78182701474132</v>
      </c>
      <c r="T16" s="149"/>
      <c r="U16" s="149"/>
      <c r="V16" s="149">
        <f>V11*$L$15*$L$24</f>
        <v>105.73489743226578</v>
      </c>
      <c r="W16" s="117"/>
      <c r="X16" s="117"/>
      <c r="Y16" s="117"/>
      <c r="Z16" s="117"/>
      <c r="AA16" s="117"/>
      <c r="AG16" t="s">
        <v>272</v>
      </c>
    </row>
    <row r="17" spans="2:33" outlineLevel="1" x14ac:dyDescent="0.2">
      <c r="B17" s="63"/>
      <c r="C17" s="64"/>
      <c r="D17" s="65"/>
      <c r="G17" s="57"/>
      <c r="H17" s="52"/>
      <c r="I17" s="81"/>
      <c r="J17" s="84" t="s">
        <v>321</v>
      </c>
      <c r="K17" s="81"/>
      <c r="L17" s="117"/>
      <c r="M17" s="117"/>
      <c r="N17" s="117"/>
      <c r="O17" s="117"/>
      <c r="P17" s="117"/>
      <c r="Q17" s="117"/>
      <c r="R17" s="117"/>
      <c r="S17" s="117"/>
      <c r="T17" s="117"/>
      <c r="U17" s="117"/>
      <c r="V17" s="117"/>
      <c r="W17" s="117"/>
      <c r="X17" s="117"/>
      <c r="Y17" s="117"/>
      <c r="Z17" s="117"/>
      <c r="AA17" s="117"/>
      <c r="AG17" t="s">
        <v>272</v>
      </c>
    </row>
    <row r="18" spans="2:33" outlineLevel="1" x14ac:dyDescent="0.2">
      <c r="B18" s="63"/>
      <c r="C18" s="64"/>
      <c r="D18" s="65"/>
      <c r="G18" s="57"/>
      <c r="H18" s="52"/>
      <c r="I18" s="81"/>
      <c r="J18" s="81"/>
      <c r="K18" s="125" t="s">
        <v>322</v>
      </c>
      <c r="L18" s="117"/>
      <c r="M18" s="117">
        <v>165</v>
      </c>
      <c r="N18" s="117"/>
      <c r="O18" s="117"/>
      <c r="P18" s="117"/>
      <c r="Q18" s="117"/>
      <c r="R18" s="117"/>
      <c r="S18" s="117"/>
      <c r="T18" s="117"/>
      <c r="U18" s="117"/>
      <c r="V18" s="117">
        <v>108</v>
      </c>
      <c r="W18" s="117"/>
      <c r="X18" s="117"/>
      <c r="Y18" s="117"/>
      <c r="Z18" s="117"/>
      <c r="AA18" s="117"/>
      <c r="AG18" t="s">
        <v>272</v>
      </c>
    </row>
    <row r="19" spans="2:33" outlineLevel="1" x14ac:dyDescent="0.2">
      <c r="B19" s="63"/>
      <c r="C19" s="64"/>
      <c r="D19" s="65"/>
      <c r="G19" s="57"/>
      <c r="H19" s="52"/>
      <c r="I19" s="81"/>
      <c r="J19" s="81"/>
      <c r="K19" s="125" t="s">
        <v>323</v>
      </c>
      <c r="L19" s="117"/>
      <c r="M19" s="148">
        <v>195</v>
      </c>
      <c r="N19" s="148"/>
      <c r="O19" s="148"/>
      <c r="P19" s="148"/>
      <c r="Q19" s="148"/>
      <c r="R19" s="148"/>
      <c r="S19" s="148"/>
      <c r="T19" s="148"/>
      <c r="U19" s="148"/>
      <c r="V19" s="148">
        <v>127</v>
      </c>
      <c r="W19" s="117"/>
      <c r="X19" s="117"/>
      <c r="Y19" s="117"/>
      <c r="Z19" s="117"/>
      <c r="AA19" s="117"/>
      <c r="AG19" t="s">
        <v>272</v>
      </c>
    </row>
    <row r="20" spans="2:33" outlineLevel="1" x14ac:dyDescent="0.2">
      <c r="B20" s="63"/>
      <c r="C20" s="64"/>
      <c r="D20" s="65"/>
      <c r="G20" s="57"/>
      <c r="H20" s="52"/>
      <c r="I20" s="81"/>
      <c r="J20" s="84" t="s">
        <v>324</v>
      </c>
      <c r="K20" s="81"/>
      <c r="L20" s="117"/>
      <c r="M20" s="117"/>
      <c r="N20" s="117"/>
      <c r="O20" s="117"/>
      <c r="P20" s="117"/>
      <c r="Q20" s="117"/>
      <c r="R20" s="117"/>
      <c r="S20" s="117"/>
      <c r="T20" s="117"/>
      <c r="U20" s="117"/>
      <c r="V20" s="117"/>
      <c r="W20" s="117"/>
      <c r="X20" s="117"/>
      <c r="Y20" s="117"/>
      <c r="Z20" s="117"/>
      <c r="AA20" s="117"/>
      <c r="AG20" t="s">
        <v>272</v>
      </c>
    </row>
    <row r="21" spans="2:33" outlineLevel="1" x14ac:dyDescent="0.2">
      <c r="B21" s="63"/>
      <c r="C21" s="64"/>
      <c r="D21" s="65"/>
      <c r="G21" s="57"/>
      <c r="H21" s="52"/>
      <c r="I21" s="81"/>
      <c r="J21" s="81"/>
      <c r="K21" s="125" t="s">
        <v>325</v>
      </c>
      <c r="L21" s="117"/>
      <c r="M21" s="148">
        <v>137</v>
      </c>
      <c r="N21" s="117"/>
      <c r="O21" s="117"/>
      <c r="P21" s="117"/>
      <c r="Q21" s="117"/>
      <c r="R21" s="117"/>
      <c r="S21" s="117"/>
      <c r="T21" s="117"/>
      <c r="U21" s="117"/>
      <c r="V21" s="117"/>
      <c r="W21" s="117"/>
      <c r="X21" s="117"/>
      <c r="Y21" s="117"/>
      <c r="Z21" s="117"/>
      <c r="AA21" s="117"/>
      <c r="AG21" t="s">
        <v>272</v>
      </c>
    </row>
    <row r="22" spans="2:33" outlineLevel="1" x14ac:dyDescent="0.2">
      <c r="B22" s="63"/>
      <c r="C22" s="64"/>
      <c r="D22" s="65"/>
      <c r="G22" s="57"/>
      <c r="H22" s="52"/>
      <c r="I22" s="81"/>
      <c r="J22" s="81"/>
      <c r="K22" s="125" t="s">
        <v>326</v>
      </c>
      <c r="L22" s="117"/>
      <c r="M22" s="117">
        <v>165</v>
      </c>
      <c r="N22" s="117"/>
      <c r="O22" s="117"/>
      <c r="P22" s="117"/>
      <c r="Q22" s="117"/>
      <c r="R22" s="117"/>
      <c r="S22" s="117"/>
      <c r="T22" s="117"/>
      <c r="U22" s="117"/>
      <c r="V22" s="117"/>
      <c r="W22" s="117"/>
      <c r="X22" s="117"/>
      <c r="Y22" s="117"/>
      <c r="Z22" s="117"/>
      <c r="AA22" s="117"/>
      <c r="AE22" s="32" t="s">
        <v>327</v>
      </c>
      <c r="AG22" t="s">
        <v>272</v>
      </c>
    </row>
    <row r="23" spans="2:33" outlineLevel="1" x14ac:dyDescent="0.2">
      <c r="B23" s="63"/>
      <c r="C23" s="64"/>
      <c r="D23" s="65"/>
      <c r="G23" s="57"/>
      <c r="H23" s="52"/>
      <c r="I23" s="81"/>
      <c r="J23" s="84" t="s">
        <v>328</v>
      </c>
      <c r="K23" s="81"/>
      <c r="L23" s="85"/>
      <c r="M23" s="85"/>
      <c r="N23" s="85"/>
      <c r="O23" s="85"/>
      <c r="P23" s="85"/>
      <c r="Q23" s="85"/>
      <c r="R23" s="85"/>
      <c r="S23" s="85"/>
      <c r="T23" s="85"/>
      <c r="U23" s="85"/>
      <c r="V23" s="85"/>
      <c r="W23" s="85"/>
      <c r="X23" s="85"/>
      <c r="Y23" s="85"/>
      <c r="Z23" s="85"/>
      <c r="AA23" s="85"/>
      <c r="AG23" t="s">
        <v>272</v>
      </c>
    </row>
    <row r="24" spans="2:33" outlineLevel="1" x14ac:dyDescent="0.2">
      <c r="B24" s="63"/>
      <c r="C24" s="64"/>
      <c r="D24" s="65"/>
      <c r="G24" s="57"/>
      <c r="H24" s="52"/>
      <c r="I24" s="81"/>
      <c r="J24" s="81"/>
      <c r="K24" s="81" t="s">
        <v>329</v>
      </c>
      <c r="L24" s="86">
        <f>218/150</f>
        <v>1.4533333333333334</v>
      </c>
      <c r="M24" s="85"/>
      <c r="N24" s="85"/>
      <c r="O24" s="85"/>
      <c r="P24" s="85"/>
      <c r="Q24" s="85"/>
      <c r="R24" s="85"/>
      <c r="S24" s="85"/>
      <c r="T24" s="85"/>
      <c r="U24" s="85"/>
      <c r="V24" s="85"/>
      <c r="W24" s="85"/>
      <c r="X24" s="85"/>
      <c r="Y24" s="85"/>
      <c r="Z24" s="85"/>
      <c r="AA24" s="85"/>
      <c r="AE24" s="32" t="s">
        <v>330</v>
      </c>
      <c r="AG24" t="s">
        <v>272</v>
      </c>
    </row>
    <row r="25" spans="2:33" outlineLevel="1" x14ac:dyDescent="0.2">
      <c r="B25" s="63"/>
      <c r="C25" s="64"/>
      <c r="D25" s="65"/>
      <c r="G25" s="57"/>
      <c r="H25" s="52"/>
      <c r="I25" s="81"/>
      <c r="J25" s="84" t="s">
        <v>331</v>
      </c>
      <c r="K25" s="81"/>
      <c r="L25" s="85"/>
      <c r="M25" s="85"/>
      <c r="N25" s="85"/>
      <c r="O25" s="85"/>
      <c r="P25" s="85"/>
      <c r="Q25" s="85"/>
      <c r="R25" s="85"/>
      <c r="S25" s="85"/>
      <c r="T25" s="85"/>
      <c r="U25" s="85"/>
      <c r="V25" s="85"/>
      <c r="W25" s="85"/>
      <c r="X25" s="85"/>
      <c r="Y25" s="85"/>
      <c r="Z25" s="85"/>
      <c r="AA25" s="85"/>
      <c r="AG25" t="s">
        <v>272</v>
      </c>
    </row>
    <row r="26" spans="2:33" outlineLevel="1" x14ac:dyDescent="0.2">
      <c r="B26" s="63"/>
      <c r="C26" s="64"/>
      <c r="D26" s="65"/>
      <c r="G26" s="57"/>
      <c r="H26" s="52"/>
      <c r="I26" s="81"/>
      <c r="J26" s="81"/>
      <c r="K26" s="81" t="s">
        <v>332</v>
      </c>
      <c r="L26" s="117">
        <v>369.45637232630446</v>
      </c>
      <c r="M26" s="117">
        <v>309.30449981222517</v>
      </c>
      <c r="N26" s="117">
        <v>284.65917758206092</v>
      </c>
      <c r="O26" s="117">
        <v>260.01385535189661</v>
      </c>
      <c r="P26" s="117">
        <v>235.36853312173236</v>
      </c>
      <c r="Q26" s="117">
        <v>210.72321089156813</v>
      </c>
      <c r="R26" s="117">
        <v>197.0881795985843</v>
      </c>
      <c r="S26" s="117">
        <v>183.45314830560051</v>
      </c>
      <c r="T26" s="117">
        <v>169.81811701261668</v>
      </c>
      <c r="U26" s="117">
        <v>156.18308571963289</v>
      </c>
      <c r="V26" s="117">
        <v>142.54805442664903</v>
      </c>
      <c r="W26" s="117">
        <v>140.76620374631591</v>
      </c>
      <c r="X26" s="117">
        <v>138.98435306598279</v>
      </c>
      <c r="Y26" s="117">
        <v>137.20250238564967</v>
      </c>
      <c r="Z26" s="117">
        <v>135.42065170531654</v>
      </c>
      <c r="AA26" s="117">
        <v>133.63880102498342</v>
      </c>
      <c r="AG26" t="s">
        <v>272</v>
      </c>
    </row>
    <row r="27" spans="2:33" outlineLevel="1" x14ac:dyDescent="0.2">
      <c r="B27" s="63"/>
      <c r="C27" s="64"/>
      <c r="D27" s="65"/>
      <c r="G27" s="57"/>
      <c r="H27" s="52"/>
      <c r="I27" s="81"/>
      <c r="J27" s="81"/>
      <c r="K27" s="81" t="s">
        <v>333</v>
      </c>
      <c r="L27" s="117">
        <v>369.45637232630446</v>
      </c>
      <c r="M27" s="117">
        <v>309.30449981222517</v>
      </c>
      <c r="N27" s="117">
        <v>282.0701413381928</v>
      </c>
      <c r="O27" s="117">
        <v>254.83578286416036</v>
      </c>
      <c r="P27" s="117">
        <v>229.54673570970169</v>
      </c>
      <c r="Q27" s="117">
        <v>215.92955647268548</v>
      </c>
      <c r="R27" s="117">
        <v>202.31237723566929</v>
      </c>
      <c r="S27" s="117">
        <v>190.64050931822683</v>
      </c>
      <c r="T27" s="117">
        <v>178.96864140078438</v>
      </c>
      <c r="U27" s="117">
        <v>167.29677348334192</v>
      </c>
      <c r="V27" s="117">
        <v>157.5702168854732</v>
      </c>
      <c r="W27" s="117">
        <v>155.64922195739464</v>
      </c>
      <c r="X27" s="117">
        <v>153.67959424632571</v>
      </c>
      <c r="Y27" s="117">
        <v>151.70996653525765</v>
      </c>
      <c r="Z27" s="117">
        <v>149.74033882418959</v>
      </c>
      <c r="AA27" s="117">
        <v>147.77071111312063</v>
      </c>
    </row>
    <row r="28" spans="2:33" outlineLevel="1" x14ac:dyDescent="0.2">
      <c r="B28" s="63"/>
      <c r="C28" s="64"/>
      <c r="D28" s="65"/>
      <c r="G28" s="57"/>
      <c r="H28" s="52"/>
      <c r="I28" s="81"/>
      <c r="J28" s="81"/>
      <c r="K28" s="81" t="s">
        <v>334</v>
      </c>
      <c r="L28" s="117">
        <v>369.45637232630446</v>
      </c>
      <c r="M28" s="117">
        <v>309.30449981222517</v>
      </c>
      <c r="N28" s="117">
        <v>300.75149727791421</v>
      </c>
      <c r="O28" s="117">
        <v>292.19849474360325</v>
      </c>
      <c r="P28" s="117">
        <v>283.64549220929229</v>
      </c>
      <c r="Q28" s="117">
        <v>275.09248967498132</v>
      </c>
      <c r="R28" s="117">
        <v>269.28432006687444</v>
      </c>
      <c r="S28" s="117">
        <v>263.47615045876762</v>
      </c>
      <c r="T28" s="117">
        <v>257.66798085066074</v>
      </c>
      <c r="U28" s="117">
        <v>251.85981124255392</v>
      </c>
      <c r="V28" s="117">
        <v>246.05164163444712</v>
      </c>
      <c r="W28" s="117">
        <v>246.05164163444712</v>
      </c>
      <c r="X28" s="117">
        <v>246.05164163444712</v>
      </c>
      <c r="Y28" s="117">
        <v>246.05164163444712</v>
      </c>
      <c r="Z28" s="117">
        <v>246.05164163444712</v>
      </c>
      <c r="AA28" s="117">
        <v>246.05164163444712</v>
      </c>
    </row>
    <row r="29" spans="2:33" outlineLevel="1" x14ac:dyDescent="0.2">
      <c r="B29" s="63"/>
      <c r="C29" s="64"/>
      <c r="D29" s="65"/>
      <c r="G29" s="57"/>
      <c r="H29" s="52"/>
      <c r="I29" s="81"/>
      <c r="J29" s="81"/>
      <c r="K29" s="127" t="s">
        <v>335</v>
      </c>
      <c r="L29" s="90"/>
      <c r="M29" s="90">
        <f t="shared" ref="M29:AA29" si="0">M27/$M$27</f>
        <v>1</v>
      </c>
      <c r="N29" s="90">
        <f t="shared" si="0"/>
        <v>0.91194968553459133</v>
      </c>
      <c r="O29" s="90">
        <f t="shared" si="0"/>
        <v>0.82389937106918243</v>
      </c>
      <c r="P29" s="90">
        <f t="shared" si="0"/>
        <v>0.74213836477987416</v>
      </c>
      <c r="Q29" s="90">
        <f t="shared" si="0"/>
        <v>0.69811320754716977</v>
      </c>
      <c r="R29" s="90">
        <f t="shared" si="0"/>
        <v>0.65408805031446537</v>
      </c>
      <c r="S29" s="90">
        <f t="shared" si="0"/>
        <v>0.61635220125786161</v>
      </c>
      <c r="T29" s="90">
        <f t="shared" si="0"/>
        <v>0.57861635220125784</v>
      </c>
      <c r="U29" s="90">
        <f t="shared" si="0"/>
        <v>0.54088050314465408</v>
      </c>
      <c r="V29" s="90">
        <f t="shared" si="0"/>
        <v>0.50943396226415094</v>
      </c>
      <c r="W29" s="90">
        <f t="shared" si="0"/>
        <v>0.50322327044025328</v>
      </c>
      <c r="X29" s="90">
        <f t="shared" si="0"/>
        <v>0.49685534591194963</v>
      </c>
      <c r="Y29" s="90">
        <f t="shared" si="0"/>
        <v>0.49048742138364892</v>
      </c>
      <c r="Z29" s="90">
        <f t="shared" si="0"/>
        <v>0.48411949685534822</v>
      </c>
      <c r="AA29" s="90">
        <f t="shared" si="0"/>
        <v>0.47775157232704452</v>
      </c>
    </row>
    <row r="30" spans="2:33" outlineLevel="1" x14ac:dyDescent="0.2">
      <c r="B30" s="63"/>
      <c r="C30" s="64"/>
      <c r="D30" s="65"/>
      <c r="G30" s="57"/>
      <c r="H30" s="52"/>
      <c r="I30" s="81"/>
      <c r="J30" s="84" t="s">
        <v>336</v>
      </c>
      <c r="K30" s="81"/>
      <c r="L30" s="85"/>
      <c r="M30" s="85"/>
      <c r="N30" s="85"/>
      <c r="O30" s="85"/>
      <c r="P30" s="85"/>
      <c r="Q30" s="85"/>
      <c r="R30" s="85"/>
      <c r="S30" s="85"/>
      <c r="T30" s="85"/>
      <c r="U30" s="85"/>
      <c r="V30" s="85"/>
      <c r="W30" s="85"/>
      <c r="X30" s="85"/>
      <c r="Y30" s="85"/>
      <c r="Z30" s="85"/>
      <c r="AA30" s="85"/>
    </row>
    <row r="31" spans="2:33" outlineLevel="1" x14ac:dyDescent="0.2">
      <c r="B31" s="63"/>
      <c r="C31" s="64"/>
      <c r="D31" s="65"/>
      <c r="G31" s="57"/>
      <c r="H31" s="52"/>
      <c r="I31" s="81"/>
      <c r="J31" s="81"/>
      <c r="K31" s="81" t="s">
        <v>337</v>
      </c>
      <c r="L31" s="85" t="s">
        <v>338</v>
      </c>
      <c r="M31" s="85" t="s">
        <v>339</v>
      </c>
      <c r="N31" s="85"/>
      <c r="O31" s="85"/>
      <c r="P31" s="85"/>
      <c r="Q31" s="85"/>
      <c r="R31" s="85"/>
      <c r="S31" s="85"/>
      <c r="T31" s="85"/>
      <c r="U31" s="85"/>
      <c r="V31" s="85"/>
      <c r="W31" s="85"/>
      <c r="X31" s="85"/>
      <c r="Y31" s="85"/>
      <c r="Z31" s="85"/>
      <c r="AA31" s="85"/>
    </row>
    <row r="32" spans="2:33" outlineLevel="1" x14ac:dyDescent="0.2">
      <c r="B32" s="63"/>
      <c r="C32" s="64"/>
      <c r="D32" s="65"/>
      <c r="G32" s="57"/>
      <c r="H32" s="52"/>
      <c r="I32" s="81"/>
      <c r="J32" s="81"/>
      <c r="K32" s="81" t="s">
        <v>340</v>
      </c>
      <c r="L32" s="85">
        <v>391.6</v>
      </c>
      <c r="M32" s="85">
        <v>385.4</v>
      </c>
      <c r="N32" s="85"/>
      <c r="O32" s="85"/>
      <c r="P32" s="85"/>
      <c r="Q32" s="85"/>
      <c r="R32" s="85"/>
      <c r="S32" s="85"/>
      <c r="T32" s="85"/>
      <c r="U32" s="85"/>
      <c r="V32" s="85"/>
      <c r="W32" s="85"/>
      <c r="X32" s="85"/>
      <c r="Y32" s="85"/>
      <c r="Z32" s="85"/>
      <c r="AA32" s="85"/>
    </row>
    <row r="33" spans="2:27" outlineLevel="1" x14ac:dyDescent="0.2">
      <c r="B33" s="63"/>
      <c r="C33" s="64"/>
      <c r="D33" s="65"/>
      <c r="G33" s="57"/>
      <c r="H33" s="52"/>
      <c r="I33" s="81"/>
      <c r="J33" s="81"/>
      <c r="K33" s="81" t="s">
        <v>341</v>
      </c>
      <c r="L33" s="85">
        <v>97</v>
      </c>
      <c r="M33" s="85">
        <v>192.7</v>
      </c>
      <c r="N33" s="85"/>
      <c r="O33" s="85"/>
      <c r="P33" s="85"/>
      <c r="Q33" s="85"/>
      <c r="R33" s="85"/>
      <c r="S33" s="85"/>
      <c r="T33" s="85"/>
      <c r="U33" s="85"/>
      <c r="V33" s="85"/>
      <c r="W33" s="85"/>
      <c r="X33" s="85"/>
      <c r="Y33" s="85"/>
      <c r="Z33" s="85"/>
      <c r="AA33" s="85"/>
    </row>
    <row r="34" spans="2:27" outlineLevel="1" x14ac:dyDescent="0.2">
      <c r="B34" s="63"/>
      <c r="C34" s="64"/>
      <c r="D34" s="65"/>
      <c r="G34" s="57"/>
      <c r="H34" s="52"/>
      <c r="I34" s="81"/>
      <c r="J34" s="81"/>
      <c r="K34" s="81" t="s">
        <v>342</v>
      </c>
      <c r="L34" s="117">
        <v>181844780</v>
      </c>
      <c r="M34" s="128">
        <v>192240560</v>
      </c>
      <c r="N34" s="85"/>
      <c r="O34" s="85"/>
      <c r="P34" s="85"/>
      <c r="Q34" s="85"/>
      <c r="R34" s="85"/>
      <c r="S34" s="85"/>
      <c r="T34" s="85"/>
      <c r="U34" s="85"/>
      <c r="V34" s="85"/>
      <c r="W34" s="85"/>
      <c r="X34" s="85"/>
      <c r="Y34" s="85"/>
      <c r="Z34" s="85"/>
      <c r="AA34" s="85"/>
    </row>
    <row r="35" spans="2:27" outlineLevel="1" x14ac:dyDescent="0.2">
      <c r="B35" s="63"/>
      <c r="C35" s="64"/>
      <c r="D35" s="65"/>
      <c r="G35" s="57"/>
      <c r="H35" s="52"/>
      <c r="I35" s="81"/>
      <c r="J35" s="81"/>
      <c r="K35" s="81" t="s">
        <v>343</v>
      </c>
      <c r="L35" s="128">
        <f>(M34-L34)/(M33-L33)</f>
        <v>108628.84012539186</v>
      </c>
      <c r="M35" s="85"/>
      <c r="N35" s="85"/>
      <c r="O35" s="85"/>
      <c r="P35" s="85"/>
      <c r="Q35" s="85"/>
      <c r="R35" s="85"/>
      <c r="S35" s="85"/>
      <c r="T35" s="85"/>
      <c r="U35" s="85"/>
      <c r="V35" s="85"/>
      <c r="W35" s="85"/>
      <c r="X35" s="85"/>
      <c r="Y35" s="85"/>
      <c r="Z35" s="85"/>
      <c r="AA35" s="85"/>
    </row>
    <row r="36" spans="2:27" outlineLevel="1" x14ac:dyDescent="0.2">
      <c r="B36" s="63"/>
      <c r="C36" s="64"/>
      <c r="D36" s="65"/>
      <c r="G36" s="57"/>
      <c r="H36" s="52"/>
      <c r="I36" s="81"/>
      <c r="J36" s="81"/>
      <c r="K36" s="81" t="s">
        <v>344</v>
      </c>
      <c r="L36" s="128">
        <f>(L34-L35*L33)/L32/1000</f>
        <v>437.45603296179002</v>
      </c>
      <c r="M36" s="128">
        <f>(M34-L35*M33)/M32/1000</f>
        <v>444.49346784597043</v>
      </c>
      <c r="N36" s="85"/>
      <c r="O36" s="85"/>
      <c r="P36" s="85"/>
      <c r="Q36" s="85"/>
      <c r="R36" s="85"/>
      <c r="S36" s="85"/>
      <c r="T36" s="85"/>
      <c r="U36" s="85"/>
      <c r="V36" s="85"/>
      <c r="W36" s="85"/>
      <c r="X36" s="85"/>
      <c r="Y36" s="85"/>
      <c r="Z36" s="85"/>
      <c r="AA36" s="85"/>
    </row>
    <row r="37" spans="2:27" outlineLevel="1" x14ac:dyDescent="0.2">
      <c r="G37" s="57"/>
      <c r="H37" s="52"/>
      <c r="I37" s="80" t="s">
        <v>345</v>
      </c>
      <c r="J37" s="80"/>
      <c r="K37" s="81"/>
      <c r="L37" s="83"/>
      <c r="M37" s="83"/>
      <c r="N37" s="83"/>
      <c r="O37" s="83"/>
      <c r="P37" s="83"/>
      <c r="Q37" s="83"/>
      <c r="R37" s="83"/>
      <c r="S37" s="83"/>
      <c r="T37" s="83"/>
      <c r="U37" s="83"/>
      <c r="V37" s="83"/>
      <c r="W37" s="83"/>
      <c r="X37" s="83"/>
      <c r="Y37" s="83"/>
      <c r="Z37" s="83"/>
      <c r="AA37" s="83"/>
    </row>
    <row r="38" spans="2:27" outlineLevel="1" x14ac:dyDescent="0.2">
      <c r="G38" s="57"/>
      <c r="H38" s="52"/>
      <c r="I38" s="81"/>
      <c r="J38" s="81"/>
      <c r="K38" s="81" t="s">
        <v>346</v>
      </c>
      <c r="L38" s="122"/>
      <c r="M38" s="117"/>
      <c r="N38" s="117"/>
      <c r="O38" s="117"/>
      <c r="P38" s="117"/>
      <c r="Q38" s="117"/>
      <c r="R38" s="117"/>
      <c r="S38" s="117">
        <f>S16</f>
        <v>116.78182701474132</v>
      </c>
      <c r="T38" s="117"/>
      <c r="U38" s="117"/>
      <c r="V38" s="117">
        <f>V16</f>
        <v>105.73489743226578</v>
      </c>
      <c r="W38" s="117"/>
      <c r="X38" s="117"/>
      <c r="Y38" s="117"/>
      <c r="Z38" s="117"/>
      <c r="AA38" s="117"/>
    </row>
    <row r="39" spans="2:27" outlineLevel="1" x14ac:dyDescent="0.2">
      <c r="G39" s="57"/>
      <c r="H39" s="52"/>
      <c r="I39" s="81"/>
      <c r="J39" s="81"/>
      <c r="K39" s="81" t="s">
        <v>347</v>
      </c>
      <c r="L39" s="119"/>
      <c r="M39" s="117">
        <f>M18</f>
        <v>165</v>
      </c>
      <c r="N39" s="85"/>
      <c r="O39" s="85"/>
      <c r="P39" s="85"/>
      <c r="Q39" s="85"/>
      <c r="R39" s="85"/>
      <c r="S39" s="85"/>
      <c r="T39" s="85"/>
      <c r="U39" s="85"/>
      <c r="V39" s="117">
        <f>V18</f>
        <v>108</v>
      </c>
      <c r="W39" s="85"/>
      <c r="X39" s="85"/>
      <c r="Y39" s="85"/>
      <c r="Z39" s="85"/>
      <c r="AA39" s="85"/>
    </row>
    <row r="40" spans="2:27" outlineLevel="1" x14ac:dyDescent="0.2">
      <c r="G40" s="57"/>
      <c r="H40" s="52"/>
      <c r="I40" s="81"/>
      <c r="J40" s="81"/>
      <c r="K40" s="81" t="s">
        <v>348</v>
      </c>
      <c r="L40" s="119"/>
      <c r="M40" s="117">
        <f>M22*INDEX(US.CPI,MATCH(2022,CPI.years,0))/INDEX(US.CPI,MATCH(2021,CPI.years,0))</f>
        <v>166.0350829559423</v>
      </c>
      <c r="N40" s="85"/>
      <c r="O40" s="85"/>
      <c r="P40" s="85"/>
      <c r="Q40" s="85"/>
      <c r="R40" s="85"/>
      <c r="S40" s="85"/>
      <c r="T40" s="85"/>
      <c r="U40" s="85"/>
      <c r="V40" s="85"/>
      <c r="W40" s="85"/>
      <c r="X40" s="85"/>
      <c r="Y40" s="85"/>
      <c r="Z40" s="85"/>
      <c r="AA40" s="85"/>
    </row>
    <row r="41" spans="2:27" outlineLevel="1" x14ac:dyDescent="0.2">
      <c r="G41" s="57"/>
      <c r="H41" s="52"/>
      <c r="I41" s="81"/>
      <c r="J41" s="81"/>
      <c r="K41" s="81" t="s">
        <v>349</v>
      </c>
      <c r="L41" s="119"/>
      <c r="M41" s="117">
        <f t="shared" ref="M41:AA41" si="1">AVERAGE($M$39:$M$40)*M29</f>
        <v>165.51754147797115</v>
      </c>
      <c r="N41" s="117">
        <f t="shared" si="1"/>
        <v>150.94366990129447</v>
      </c>
      <c r="O41" s="117">
        <f t="shared" si="1"/>
        <v>136.36979832461773</v>
      </c>
      <c r="P41" s="117">
        <f t="shared" si="1"/>
        <v>122.83691757484651</v>
      </c>
      <c r="Q41" s="117">
        <f t="shared" si="1"/>
        <v>115.54998178650816</v>
      </c>
      <c r="R41" s="117">
        <f t="shared" si="1"/>
        <v>108.2630459981698</v>
      </c>
      <c r="S41" s="117">
        <f t="shared" si="1"/>
        <v>102.01710103673693</v>
      </c>
      <c r="T41" s="117">
        <f t="shared" si="1"/>
        <v>95.771156075304063</v>
      </c>
      <c r="U41" s="117">
        <f t="shared" si="1"/>
        <v>89.52521111387118</v>
      </c>
      <c r="V41" s="117">
        <f t="shared" si="1"/>
        <v>84.320256979343796</v>
      </c>
      <c r="W41" s="117">
        <f t="shared" si="1"/>
        <v>83.292278537774919</v>
      </c>
      <c r="X41" s="117">
        <f t="shared" si="1"/>
        <v>82.238275325532825</v>
      </c>
      <c r="Y41" s="117">
        <f t="shared" si="1"/>
        <v>81.184272113291229</v>
      </c>
      <c r="Z41" s="117">
        <f t="shared" si="1"/>
        <v>80.130268901049618</v>
      </c>
      <c r="AA41" s="117">
        <f t="shared" si="1"/>
        <v>79.076265688807524</v>
      </c>
    </row>
    <row r="42" spans="2:27" outlineLevel="1" x14ac:dyDescent="0.2">
      <c r="G42" s="57"/>
      <c r="H42" s="102"/>
      <c r="I42" s="106" t="s">
        <v>350</v>
      </c>
      <c r="J42" s="107"/>
      <c r="K42" s="82"/>
      <c r="L42" s="83"/>
      <c r="M42" s="86"/>
      <c r="N42" s="111"/>
      <c r="O42" s="122"/>
      <c r="P42" s="122"/>
      <c r="Q42" s="122"/>
      <c r="R42" s="122"/>
      <c r="S42" s="122"/>
      <c r="T42" s="122"/>
      <c r="U42" s="122"/>
      <c r="V42" s="122"/>
      <c r="W42" s="122"/>
      <c r="X42" s="122"/>
      <c r="Y42" s="122"/>
      <c r="Z42" s="122"/>
      <c r="AA42" s="122"/>
    </row>
    <row r="43" spans="2:27" outlineLevel="1" x14ac:dyDescent="0.2">
      <c r="G43" s="57"/>
      <c r="H43" s="102"/>
      <c r="I43" s="106"/>
      <c r="J43" s="107" t="s">
        <v>351</v>
      </c>
      <c r="K43" s="82"/>
      <c r="L43" s="83"/>
      <c r="M43" s="86"/>
      <c r="N43" s="111"/>
      <c r="O43" s="122"/>
      <c r="P43" s="122"/>
      <c r="Q43" s="122"/>
      <c r="R43" s="122"/>
      <c r="S43" s="122"/>
      <c r="T43" s="122"/>
      <c r="U43" s="122"/>
      <c r="V43" s="122"/>
      <c r="W43" s="122"/>
      <c r="X43" s="122"/>
      <c r="Y43" s="122"/>
      <c r="Z43" s="122"/>
      <c r="AA43" s="122"/>
    </row>
    <row r="44" spans="2:27" outlineLevel="1" x14ac:dyDescent="0.2">
      <c r="G44" s="57"/>
      <c r="H44" s="102"/>
      <c r="I44" s="106"/>
      <c r="J44" s="107"/>
      <c r="K44" s="82" t="s">
        <v>352</v>
      </c>
      <c r="L44" s="83"/>
      <c r="M44" s="86"/>
      <c r="N44" s="135">
        <v>220</v>
      </c>
      <c r="O44" s="122"/>
      <c r="P44" s="122"/>
      <c r="Q44" s="122"/>
      <c r="R44" s="122"/>
      <c r="S44" s="122"/>
      <c r="T44" s="122"/>
      <c r="U44" s="122"/>
      <c r="V44" s="122"/>
      <c r="W44" s="122"/>
      <c r="X44" s="122"/>
      <c r="Y44" s="122"/>
      <c r="Z44" s="122"/>
      <c r="AA44" s="122"/>
    </row>
    <row r="45" spans="2:27" outlineLevel="1" x14ac:dyDescent="0.2">
      <c r="G45" s="57"/>
      <c r="H45" s="102"/>
      <c r="I45" s="106"/>
      <c r="J45" s="107"/>
      <c r="K45" s="88" t="s">
        <v>353</v>
      </c>
      <c r="L45" s="83"/>
      <c r="M45" s="86"/>
      <c r="N45" s="134">
        <f>AVERAGE(N44:N44)</f>
        <v>220</v>
      </c>
      <c r="O45" s="122"/>
      <c r="P45" s="122"/>
      <c r="Q45" s="122"/>
      <c r="R45" s="122"/>
      <c r="S45" s="122"/>
      <c r="T45" s="122"/>
      <c r="U45" s="122"/>
      <c r="V45" s="122"/>
      <c r="W45" s="122"/>
      <c r="X45" s="122"/>
      <c r="Y45" s="122"/>
      <c r="Z45" s="122"/>
      <c r="AA45" s="122"/>
    </row>
    <row r="46" spans="2:27" outlineLevel="1" x14ac:dyDescent="0.2">
      <c r="G46" s="57"/>
      <c r="H46" s="102"/>
      <c r="I46" s="83"/>
      <c r="J46" s="107" t="s">
        <v>354</v>
      </c>
      <c r="K46" s="82"/>
      <c r="L46" s="83"/>
      <c r="M46" s="86"/>
      <c r="N46" s="111"/>
      <c r="O46" s="122"/>
      <c r="P46" s="122"/>
      <c r="Q46" s="122"/>
      <c r="R46" s="122"/>
      <c r="S46" s="122"/>
      <c r="T46" s="122"/>
      <c r="U46" s="122"/>
      <c r="V46" s="122"/>
      <c r="W46" s="122"/>
      <c r="X46" s="122"/>
      <c r="Y46" s="122"/>
      <c r="Z46" s="122"/>
      <c r="AA46" s="122"/>
    </row>
    <row r="47" spans="2:27" outlineLevel="1" x14ac:dyDescent="0.2">
      <c r="G47" s="57"/>
      <c r="H47" s="102"/>
      <c r="I47" s="83"/>
      <c r="J47" s="107"/>
      <c r="K47" s="82" t="s">
        <v>352</v>
      </c>
      <c r="L47" s="83"/>
      <c r="M47" s="86"/>
      <c r="N47" s="135">
        <v>227</v>
      </c>
      <c r="O47" s="122"/>
      <c r="P47" s="122"/>
      <c r="Q47" s="122"/>
      <c r="R47" s="122"/>
      <c r="S47" s="122"/>
      <c r="T47" s="122"/>
      <c r="U47" s="122"/>
      <c r="V47" s="122"/>
      <c r="W47" s="122"/>
      <c r="X47" s="122"/>
      <c r="Y47" s="122"/>
      <c r="Z47" s="122"/>
      <c r="AA47" s="122"/>
    </row>
    <row r="48" spans="2:27" outlineLevel="1" x14ac:dyDescent="0.2">
      <c r="G48" s="57"/>
      <c r="H48" s="70"/>
      <c r="I48" s="83"/>
      <c r="J48" s="107"/>
      <c r="K48" s="88" t="s">
        <v>354</v>
      </c>
      <c r="L48" s="83"/>
      <c r="M48" s="86"/>
      <c r="N48" s="134">
        <f>AVERAGE(N47:N47)</f>
        <v>227</v>
      </c>
      <c r="O48" s="122"/>
      <c r="P48" s="122"/>
      <c r="Q48" s="122"/>
      <c r="R48" s="122"/>
      <c r="S48" s="122"/>
      <c r="T48" s="122"/>
      <c r="U48" s="122"/>
      <c r="V48" s="122"/>
      <c r="W48" s="122"/>
      <c r="X48" s="122"/>
      <c r="Y48" s="122"/>
      <c r="Z48" s="122"/>
      <c r="AA48" s="122"/>
    </row>
    <row r="49" spans="2:32" outlineLevel="1" x14ac:dyDescent="0.2">
      <c r="G49" s="57"/>
      <c r="H49" s="52"/>
      <c r="I49" s="138"/>
      <c r="J49" s="138"/>
      <c r="K49" s="138"/>
      <c r="L49" s="138"/>
      <c r="M49" s="138"/>
      <c r="N49" s="138"/>
      <c r="O49" s="138"/>
      <c r="P49" s="138"/>
      <c r="Q49" s="138"/>
      <c r="R49" s="138"/>
      <c r="S49" s="138"/>
      <c r="T49" s="138"/>
      <c r="U49" s="138"/>
      <c r="V49" s="138"/>
      <c r="W49" s="138"/>
      <c r="X49" s="138"/>
      <c r="Y49" s="138"/>
      <c r="Z49" s="138"/>
      <c r="AA49" s="138"/>
    </row>
    <row r="50" spans="2:32" outlineLevel="1" x14ac:dyDescent="0.2">
      <c r="G50" s="57"/>
      <c r="H50" s="52"/>
      <c r="I50" s="103" t="s">
        <v>355</v>
      </c>
      <c r="J50" s="92"/>
      <c r="K50" s="93"/>
      <c r="L50" s="123"/>
      <c r="M50" s="124"/>
      <c r="N50" s="124"/>
      <c r="O50" s="124"/>
      <c r="P50" s="124"/>
      <c r="Q50" s="124"/>
      <c r="R50" s="124"/>
      <c r="S50" s="124"/>
      <c r="T50" s="124"/>
      <c r="U50" s="124"/>
      <c r="V50" s="124"/>
      <c r="W50" s="124"/>
      <c r="X50" s="124"/>
      <c r="Y50" s="124"/>
      <c r="Z50" s="124"/>
      <c r="AA50" s="124"/>
    </row>
    <row r="51" spans="2:32" outlineLevel="1" x14ac:dyDescent="0.2">
      <c r="G51" s="57"/>
      <c r="H51" s="52"/>
      <c r="I51" s="96"/>
      <c r="J51" s="96"/>
      <c r="K51" s="91" t="s">
        <v>356</v>
      </c>
      <c r="L51" s="123"/>
      <c r="M51" s="132">
        <f t="shared" ref="M51:AA51" si="2">AVERAGE(M38:M41)*USD_to_CAD</f>
        <v>215.17280392136252</v>
      </c>
      <c r="N51" s="132">
        <f t="shared" si="2"/>
        <v>196.22677087168282</v>
      </c>
      <c r="O51" s="132">
        <f t="shared" si="2"/>
        <v>177.28073782200306</v>
      </c>
      <c r="P51" s="132">
        <f t="shared" si="2"/>
        <v>159.68799284730048</v>
      </c>
      <c r="Q51" s="132">
        <f t="shared" si="2"/>
        <v>150.21497632246061</v>
      </c>
      <c r="R51" s="132">
        <f t="shared" si="2"/>
        <v>140.74195979762075</v>
      </c>
      <c r="S51" s="132">
        <f t="shared" si="2"/>
        <v>142.21930323346086</v>
      </c>
      <c r="T51" s="132">
        <f t="shared" si="2"/>
        <v>124.50250289789528</v>
      </c>
      <c r="U51" s="132">
        <f t="shared" si="2"/>
        <v>116.38277444803254</v>
      </c>
      <c r="V51" s="132">
        <f t="shared" si="2"/>
        <v>129.15723357836416</v>
      </c>
      <c r="W51" s="132">
        <f t="shared" si="2"/>
        <v>108.27996209910739</v>
      </c>
      <c r="X51" s="132">
        <f t="shared" si="2"/>
        <v>106.90975792319267</v>
      </c>
      <c r="Y51" s="132">
        <f t="shared" si="2"/>
        <v>105.5395537472786</v>
      </c>
      <c r="Z51" s="132">
        <f t="shared" si="2"/>
        <v>104.16934957136451</v>
      </c>
      <c r="AA51" s="132">
        <f t="shared" si="2"/>
        <v>102.79914539544978</v>
      </c>
    </row>
    <row r="52" spans="2:32" outlineLevel="1" x14ac:dyDescent="0.2">
      <c r="G52" s="57"/>
      <c r="H52" s="52"/>
      <c r="I52" s="96"/>
      <c r="J52" s="96"/>
      <c r="K52" s="105" t="s">
        <v>357</v>
      </c>
      <c r="L52" s="123"/>
      <c r="M52" s="132"/>
      <c r="N52" s="132">
        <f t="shared" ref="N52:AA52" si="3">-43.86*LN(N4-2020)+217.14</f>
        <v>186.73856466064078</v>
      </c>
      <c r="O52" s="132">
        <f t="shared" si="3"/>
        <v>168.95486501901669</v>
      </c>
      <c r="P52" s="132">
        <f t="shared" si="3"/>
        <v>156.33712932128159</v>
      </c>
      <c r="Q52" s="132">
        <f t="shared" si="3"/>
        <v>146.55005316064035</v>
      </c>
      <c r="R52" s="132">
        <f t="shared" si="3"/>
        <v>138.55342967965748</v>
      </c>
      <c r="S52" s="132">
        <f t="shared" si="3"/>
        <v>131.79238086243396</v>
      </c>
      <c r="T52" s="132">
        <f t="shared" si="3"/>
        <v>125.9356939819224</v>
      </c>
      <c r="U52" s="132">
        <f t="shared" si="3"/>
        <v>120.7697300380334</v>
      </c>
      <c r="V52" s="132">
        <f t="shared" si="3"/>
        <v>116.14861782128114</v>
      </c>
      <c r="W52" s="132">
        <f t="shared" si="3"/>
        <v>111.96831333506346</v>
      </c>
      <c r="X52" s="132">
        <f t="shared" si="3"/>
        <v>108.15199434029829</v>
      </c>
      <c r="Y52" s="132">
        <f t="shared" si="3"/>
        <v>104.64132118173698</v>
      </c>
      <c r="Z52" s="132">
        <f t="shared" si="3"/>
        <v>101.39094552307475</v>
      </c>
      <c r="AA52" s="132">
        <f t="shared" si="3"/>
        <v>98.364918179657053</v>
      </c>
    </row>
    <row r="53" spans="2:32" outlineLevel="1" x14ac:dyDescent="0.2">
      <c r="G53" s="57"/>
      <c r="H53" s="52"/>
      <c r="I53" s="96"/>
      <c r="J53" s="96"/>
      <c r="K53" s="105" t="s">
        <v>358</v>
      </c>
      <c r="L53" s="123"/>
      <c r="M53" s="132"/>
      <c r="N53" s="132" cm="1">
        <f t="array" ref="N53:AA53">($N$45/$N$52)*forecast_es.battery_costs_CA</f>
        <v>220</v>
      </c>
      <c r="O53" s="132">
        <v>199.04870947108697</v>
      </c>
      <c r="P53" s="132">
        <v>184.18353227243836</v>
      </c>
      <c r="Q53" s="132">
        <v>172.65320505130973</v>
      </c>
      <c r="R53" s="132">
        <v>163.23224174352529</v>
      </c>
      <c r="S53" s="132">
        <v>155.26693076187414</v>
      </c>
      <c r="T53" s="132">
        <v>148.36706454487674</v>
      </c>
      <c r="U53" s="132">
        <v>142.28095121461226</v>
      </c>
      <c r="V53" s="132">
        <v>136.83673732374808</v>
      </c>
      <c r="W53" s="132">
        <v>131.91184680293256</v>
      </c>
      <c r="X53" s="132">
        <v>127.41577401596366</v>
      </c>
      <c r="Y53" s="132">
        <v>123.27978798497391</v>
      </c>
      <c r="Z53" s="132">
        <v>119.45046303431249</v>
      </c>
      <c r="AA53" s="132">
        <v>115.88544679483505</v>
      </c>
    </row>
    <row r="54" spans="2:32" outlineLevel="1" x14ac:dyDescent="0.2">
      <c r="G54" s="57"/>
      <c r="H54" s="52"/>
      <c r="I54" s="96"/>
      <c r="J54" s="96"/>
      <c r="K54" s="105" t="s">
        <v>359</v>
      </c>
      <c r="L54" s="123"/>
      <c r="M54" s="132"/>
      <c r="N54" s="132" cm="1">
        <f t="array" ref="N54:AA54">($N$48/$N$52)*forecast_es.battery_costs_CA</f>
        <v>227</v>
      </c>
      <c r="O54" s="132">
        <v>205.38207749971247</v>
      </c>
      <c r="P54" s="132">
        <v>190.04391739019778</v>
      </c>
      <c r="Q54" s="132">
        <v>178.14671612112414</v>
      </c>
      <c r="R54" s="132">
        <v>168.42599488991021</v>
      </c>
      <c r="S54" s="132">
        <v>160.20724219520653</v>
      </c>
      <c r="T54" s="132">
        <v>153.08783478039555</v>
      </c>
      <c r="U54" s="132">
        <v>146.80807238962265</v>
      </c>
      <c r="V54" s="132">
        <v>141.19063351132189</v>
      </c>
      <c r="W54" s="132">
        <v>136.10904192848042</v>
      </c>
      <c r="X54" s="132">
        <v>131.46991228010796</v>
      </c>
      <c r="Y54" s="132">
        <v>127.20232669358673</v>
      </c>
      <c r="Z54" s="132">
        <v>123.25115958540427</v>
      </c>
      <c r="AA54" s="132">
        <v>119.57271101103436</v>
      </c>
    </row>
    <row r="55" spans="2:32" x14ac:dyDescent="0.2">
      <c r="F55"/>
      <c r="G55"/>
      <c r="K55"/>
      <c r="L55" s="33"/>
      <c r="M55" s="53"/>
      <c r="N55" s="53"/>
      <c r="O55" s="53"/>
      <c r="P55" s="53"/>
      <c r="Q55" s="53"/>
      <c r="R55" s="53"/>
      <c r="S55" s="53"/>
      <c r="T55" s="53"/>
      <c r="U55" s="53"/>
      <c r="V55" s="53"/>
      <c r="W55" s="53"/>
      <c r="X55" s="53"/>
      <c r="Y55" s="53"/>
      <c r="Z55" s="53"/>
      <c r="AA55" s="53"/>
    </row>
    <row r="56" spans="2:32" s="69" customFormat="1" x14ac:dyDescent="0.2">
      <c r="B56" s="66"/>
      <c r="C56" s="67"/>
      <c r="D56" s="68"/>
      <c r="F56" s="70"/>
      <c r="H56" s="71" t="s">
        <v>360</v>
      </c>
      <c r="I56" s="70"/>
      <c r="J56" s="70"/>
      <c r="K56" s="70"/>
      <c r="L56" s="70"/>
      <c r="M56" s="70"/>
      <c r="N56" s="70"/>
      <c r="O56" s="70"/>
      <c r="P56" s="70"/>
      <c r="Q56" s="70"/>
      <c r="R56" s="70"/>
      <c r="S56" s="70"/>
      <c r="T56" s="70"/>
      <c r="U56" s="70"/>
      <c r="V56" s="70"/>
      <c r="W56" s="70"/>
      <c r="X56" s="70"/>
      <c r="Y56" s="70"/>
      <c r="Z56" s="70"/>
      <c r="AA56" s="70"/>
      <c r="AB56" s="70"/>
      <c r="AC56" s="70"/>
      <c r="AD56" s="70"/>
      <c r="AE56" s="70"/>
      <c r="AF56" s="70"/>
    </row>
    <row r="57" spans="2:32" outlineLevel="1" x14ac:dyDescent="0.2">
      <c r="F57"/>
      <c r="I57" s="80" t="s">
        <v>310</v>
      </c>
      <c r="J57" s="81"/>
      <c r="K57" s="109"/>
      <c r="L57" s="119"/>
      <c r="M57" s="119"/>
      <c r="N57" s="119"/>
      <c r="O57" s="119"/>
      <c r="P57" s="119"/>
      <c r="Q57" s="119"/>
      <c r="R57" s="119"/>
      <c r="S57" s="119"/>
      <c r="T57" s="119"/>
      <c r="U57" s="119"/>
      <c r="V57" s="119"/>
      <c r="W57" s="119"/>
      <c r="X57" s="119"/>
      <c r="Y57" s="119"/>
      <c r="Z57" s="119"/>
      <c r="AA57" s="119"/>
    </row>
    <row r="58" spans="2:32" outlineLevel="1" x14ac:dyDescent="0.2">
      <c r="H58" s="52"/>
      <c r="I58" s="81"/>
      <c r="J58" s="84" t="s">
        <v>321</v>
      </c>
      <c r="K58" s="120"/>
      <c r="L58" s="122"/>
      <c r="M58" s="122"/>
      <c r="N58" s="122"/>
      <c r="O58" s="122"/>
      <c r="P58" s="122"/>
      <c r="Q58" s="122"/>
      <c r="R58" s="122"/>
      <c r="S58" s="122"/>
      <c r="T58" s="122"/>
      <c r="U58" s="122"/>
      <c r="V58" s="122"/>
      <c r="W58" s="122"/>
      <c r="X58" s="122"/>
      <c r="Y58" s="122"/>
      <c r="Z58" s="122"/>
      <c r="AA58" s="122"/>
      <c r="AB58" s="53"/>
    </row>
    <row r="59" spans="2:32" outlineLevel="1" x14ac:dyDescent="0.2">
      <c r="H59" s="52"/>
      <c r="I59" s="81"/>
      <c r="J59" s="81"/>
      <c r="K59" s="120" t="s">
        <v>361</v>
      </c>
      <c r="L59" s="122"/>
      <c r="M59" s="122">
        <v>63.04</v>
      </c>
      <c r="N59" s="122"/>
      <c r="O59" s="122"/>
      <c r="P59" s="122"/>
      <c r="Q59" s="122"/>
      <c r="R59" s="122"/>
      <c r="S59" s="122"/>
      <c r="T59" s="122"/>
      <c r="U59" s="122"/>
      <c r="V59" s="122">
        <v>55.77</v>
      </c>
      <c r="W59" s="122"/>
      <c r="X59" s="122"/>
      <c r="Y59" s="122"/>
      <c r="Z59" s="122"/>
      <c r="AA59" s="122"/>
      <c r="AB59" s="53"/>
    </row>
    <row r="60" spans="2:32" outlineLevel="1" x14ac:dyDescent="0.2">
      <c r="H60" s="52"/>
      <c r="I60" s="81"/>
      <c r="J60" s="81"/>
      <c r="K60" s="120" t="s">
        <v>362</v>
      </c>
      <c r="L60" s="122"/>
      <c r="M60" s="122">
        <v>84.65</v>
      </c>
      <c r="N60" s="122"/>
      <c r="O60" s="122"/>
      <c r="P60" s="122"/>
      <c r="Q60" s="122"/>
      <c r="R60" s="122"/>
      <c r="S60" s="122"/>
      <c r="T60" s="122"/>
      <c r="U60" s="122"/>
      <c r="V60" s="122">
        <v>74.88</v>
      </c>
      <c r="W60" s="122"/>
      <c r="X60" s="122"/>
      <c r="Y60" s="122"/>
      <c r="Z60" s="122"/>
      <c r="AA60" s="122"/>
      <c r="AB60" s="53"/>
    </row>
    <row r="61" spans="2:32" outlineLevel="1" x14ac:dyDescent="0.2">
      <c r="H61" s="52"/>
      <c r="I61" s="81"/>
      <c r="J61" s="84" t="s">
        <v>328</v>
      </c>
      <c r="K61" s="120"/>
      <c r="L61" s="122"/>
      <c r="M61" s="122"/>
      <c r="N61" s="122"/>
      <c r="O61" s="122"/>
      <c r="P61" s="122"/>
      <c r="Q61" s="122"/>
      <c r="R61" s="122"/>
      <c r="S61" s="122"/>
      <c r="T61" s="122"/>
      <c r="U61" s="122"/>
      <c r="V61" s="122"/>
      <c r="W61" s="122"/>
      <c r="X61" s="122"/>
      <c r="Y61" s="122"/>
      <c r="Z61" s="122"/>
      <c r="AA61" s="122"/>
      <c r="AB61" s="53"/>
    </row>
    <row r="62" spans="2:32" outlineLevel="1" x14ac:dyDescent="0.2">
      <c r="H62" s="52"/>
      <c r="I62" s="81"/>
      <c r="J62" s="81"/>
      <c r="K62" s="120" t="s">
        <v>363</v>
      </c>
      <c r="L62" s="122"/>
      <c r="M62" s="122">
        <f>0.06*1000</f>
        <v>60</v>
      </c>
      <c r="N62" s="122"/>
      <c r="O62" s="122"/>
      <c r="P62" s="122"/>
      <c r="Q62" s="122"/>
      <c r="R62" s="122"/>
      <c r="S62" s="122"/>
      <c r="T62" s="122"/>
      <c r="U62" s="122"/>
      <c r="V62" s="122"/>
      <c r="W62" s="122"/>
      <c r="X62" s="122"/>
      <c r="Y62" s="122"/>
      <c r="Z62" s="122"/>
      <c r="AA62" s="122"/>
      <c r="AB62" s="53"/>
    </row>
    <row r="63" spans="2:32" outlineLevel="1" x14ac:dyDescent="0.2">
      <c r="H63" s="52"/>
      <c r="I63" s="81"/>
      <c r="J63" s="84" t="s">
        <v>331</v>
      </c>
      <c r="K63" s="120"/>
      <c r="L63" s="122"/>
      <c r="M63" s="122"/>
      <c r="N63" s="122"/>
      <c r="O63" s="122"/>
      <c r="P63" s="122"/>
      <c r="Q63" s="122"/>
      <c r="R63" s="122"/>
      <c r="S63" s="122"/>
      <c r="T63" s="122"/>
      <c r="U63" s="122"/>
      <c r="V63" s="122"/>
      <c r="W63" s="122"/>
      <c r="X63" s="122"/>
      <c r="Y63" s="122"/>
      <c r="Z63" s="122"/>
      <c r="AA63" s="122"/>
      <c r="AB63" s="53"/>
    </row>
    <row r="64" spans="2:32" outlineLevel="1" x14ac:dyDescent="0.2">
      <c r="H64" s="52"/>
      <c r="I64" s="81"/>
      <c r="J64" s="81"/>
      <c r="K64" s="120" t="s">
        <v>364</v>
      </c>
      <c r="L64" s="122"/>
      <c r="M64" s="122">
        <v>238.23917543208495</v>
      </c>
      <c r="N64" s="122">
        <v>219.25632439067795</v>
      </c>
      <c r="O64" s="122">
        <v>200.27347334927094</v>
      </c>
      <c r="P64" s="122">
        <v>181.29062230786394</v>
      </c>
      <c r="Q64" s="122">
        <v>162.30777126645694</v>
      </c>
      <c r="R64" s="122">
        <v>151.80550371392155</v>
      </c>
      <c r="S64" s="122">
        <v>141.30323616138605</v>
      </c>
      <c r="T64" s="122">
        <v>130.80096860885067</v>
      </c>
      <c r="U64" s="122">
        <v>120.29870105631517</v>
      </c>
      <c r="V64" s="122">
        <v>109.79643350377967</v>
      </c>
      <c r="W64" s="122">
        <v>108.42397808498242</v>
      </c>
      <c r="X64" s="122">
        <v>107.05152266618518</v>
      </c>
      <c r="Y64" s="122">
        <v>105.67906724738793</v>
      </c>
      <c r="Z64" s="122">
        <v>104.3066118285908</v>
      </c>
      <c r="AA64" s="122">
        <v>102.93415640979356</v>
      </c>
      <c r="AB64" s="53"/>
    </row>
    <row r="65" spans="8:28" outlineLevel="1" x14ac:dyDescent="0.2">
      <c r="H65" s="52"/>
      <c r="I65" s="81"/>
      <c r="J65" s="81"/>
      <c r="K65" s="120" t="s">
        <v>365</v>
      </c>
      <c r="L65" s="122"/>
      <c r="M65" s="122">
        <v>238.23917543208495</v>
      </c>
      <c r="N65" s="122">
        <v>242.53425651396014</v>
      </c>
      <c r="O65" s="122">
        <v>236.36510231441025</v>
      </c>
      <c r="P65" s="122">
        <v>248.5752910401286</v>
      </c>
      <c r="Q65" s="122">
        <v>240.25859629964111</v>
      </c>
      <c r="R65" s="122">
        <v>247.63825448129126</v>
      </c>
      <c r="S65" s="122">
        <v>252.46878502535935</v>
      </c>
      <c r="T65" s="122">
        <v>252.06719792871479</v>
      </c>
      <c r="U65" s="122">
        <v>262.12984611349566</v>
      </c>
      <c r="V65" s="122">
        <v>264.41124901998148</v>
      </c>
      <c r="W65" s="122">
        <v>261.35630727473347</v>
      </c>
      <c r="X65" s="122">
        <v>258.05116666198421</v>
      </c>
      <c r="Y65" s="122">
        <v>254.74602604923439</v>
      </c>
      <c r="Z65" s="122">
        <v>251.44088543648456</v>
      </c>
      <c r="AA65" s="122">
        <v>248.13574482373542</v>
      </c>
      <c r="AB65" s="53"/>
    </row>
    <row r="66" spans="8:28" outlineLevel="1" x14ac:dyDescent="0.2">
      <c r="H66" s="52"/>
      <c r="I66" s="81"/>
      <c r="J66" s="81"/>
      <c r="K66" s="120" t="s">
        <v>366</v>
      </c>
      <c r="L66" s="122"/>
      <c r="M66" s="122">
        <v>238.23917543208495</v>
      </c>
      <c r="N66" s="122">
        <v>231.65129755614134</v>
      </c>
      <c r="O66" s="122">
        <v>225.06341968019774</v>
      </c>
      <c r="P66" s="122">
        <v>218.47554180425414</v>
      </c>
      <c r="Q66" s="122">
        <v>211.8876639283103</v>
      </c>
      <c r="R66" s="122">
        <v>207.4139704028521</v>
      </c>
      <c r="S66" s="122">
        <v>202.94027687739367</v>
      </c>
      <c r="T66" s="122">
        <v>198.46658335193547</v>
      </c>
      <c r="U66" s="122">
        <v>193.99288982647704</v>
      </c>
      <c r="V66" s="122">
        <v>189.51919630101872</v>
      </c>
      <c r="W66" s="122">
        <v>189.51919630101872</v>
      </c>
      <c r="X66" s="122">
        <v>189.51919630101872</v>
      </c>
      <c r="Y66" s="122">
        <v>189.51919630101872</v>
      </c>
      <c r="Z66" s="122">
        <v>189.51919630101872</v>
      </c>
      <c r="AA66" s="122">
        <v>189.51919630101872</v>
      </c>
      <c r="AB66" s="53"/>
    </row>
    <row r="67" spans="8:28" outlineLevel="1" x14ac:dyDescent="0.2">
      <c r="H67" s="52"/>
      <c r="I67" s="81"/>
      <c r="J67" s="81"/>
      <c r="K67" s="120" t="s">
        <v>367</v>
      </c>
      <c r="L67" s="122"/>
      <c r="M67" s="121">
        <f>M66/$M$66</f>
        <v>1</v>
      </c>
      <c r="N67" s="121">
        <f t="shared" ref="N67:AA67" si="4">N66/$M$66</f>
        <v>0.97234762979683997</v>
      </c>
      <c r="O67" s="121">
        <f t="shared" si="4"/>
        <v>0.94469525959367995</v>
      </c>
      <c r="P67" s="121">
        <f t="shared" si="4"/>
        <v>0.91704288939051981</v>
      </c>
      <c r="Q67" s="121">
        <f t="shared" si="4"/>
        <v>0.8893905191873589</v>
      </c>
      <c r="R67" s="121">
        <f t="shared" si="4"/>
        <v>0.87061235846990159</v>
      </c>
      <c r="S67" s="121">
        <f t="shared" si="4"/>
        <v>0.85183419775244329</v>
      </c>
      <c r="T67" s="121">
        <f t="shared" si="4"/>
        <v>0.83305603703498599</v>
      </c>
      <c r="U67" s="121">
        <f t="shared" si="4"/>
        <v>0.81427787631752768</v>
      </c>
      <c r="V67" s="121">
        <f t="shared" si="4"/>
        <v>0.79549971560006982</v>
      </c>
      <c r="W67" s="121">
        <f t="shared" si="4"/>
        <v>0.79549971560006982</v>
      </c>
      <c r="X67" s="121">
        <f t="shared" si="4"/>
        <v>0.79549971560006982</v>
      </c>
      <c r="Y67" s="121">
        <f t="shared" si="4"/>
        <v>0.79549971560006982</v>
      </c>
      <c r="Z67" s="121">
        <f t="shared" si="4"/>
        <v>0.79549971560006982</v>
      </c>
      <c r="AA67" s="121">
        <f t="shared" si="4"/>
        <v>0.79549971560006982</v>
      </c>
      <c r="AB67" s="53"/>
    </row>
    <row r="68" spans="8:28" outlineLevel="1" x14ac:dyDescent="0.2">
      <c r="H68" s="52"/>
      <c r="I68" s="81"/>
      <c r="J68" s="84" t="s">
        <v>324</v>
      </c>
      <c r="K68" s="120"/>
      <c r="L68" s="122"/>
      <c r="M68" s="122"/>
      <c r="N68" s="122"/>
      <c r="O68" s="122"/>
      <c r="P68" s="122"/>
      <c r="Q68" s="122"/>
      <c r="R68" s="122"/>
      <c r="S68" s="122"/>
      <c r="T68" s="122"/>
      <c r="U68" s="122"/>
      <c r="V68" s="122"/>
      <c r="W68" s="122"/>
      <c r="X68" s="122"/>
      <c r="Y68" s="122"/>
      <c r="Z68" s="122"/>
      <c r="AA68" s="122"/>
    </row>
    <row r="69" spans="8:28" outlineLevel="1" x14ac:dyDescent="0.2">
      <c r="H69" s="52"/>
      <c r="I69" s="81"/>
      <c r="J69" s="81"/>
      <c r="K69" s="120" t="s">
        <v>368</v>
      </c>
      <c r="L69" s="122"/>
      <c r="M69" s="122">
        <f>0.07*1000</f>
        <v>70</v>
      </c>
      <c r="N69" s="122"/>
      <c r="O69" s="122"/>
      <c r="P69" s="122"/>
      <c r="Q69" s="122"/>
      <c r="R69" s="122"/>
      <c r="S69" s="122"/>
      <c r="T69" s="122"/>
      <c r="U69" s="122"/>
      <c r="V69" s="122"/>
      <c r="W69" s="122"/>
      <c r="X69" s="122"/>
      <c r="Y69" s="122"/>
      <c r="Z69" s="122"/>
      <c r="AA69" s="122"/>
    </row>
    <row r="70" spans="8:28" outlineLevel="1" x14ac:dyDescent="0.2">
      <c r="H70" s="52"/>
      <c r="I70" s="81"/>
      <c r="J70" s="84" t="s">
        <v>369</v>
      </c>
      <c r="K70" s="120"/>
      <c r="L70" s="122"/>
      <c r="M70" s="122"/>
      <c r="N70" s="122"/>
      <c r="O70" s="122"/>
      <c r="P70" s="122"/>
      <c r="Q70" s="122"/>
      <c r="R70" s="122"/>
      <c r="S70" s="122"/>
      <c r="T70" s="122"/>
      <c r="U70" s="122"/>
      <c r="V70" s="122"/>
      <c r="W70" s="122"/>
      <c r="X70" s="122"/>
      <c r="Y70" s="122"/>
      <c r="Z70" s="122"/>
      <c r="AA70" s="122"/>
    </row>
    <row r="71" spans="8:28" outlineLevel="1" x14ac:dyDescent="0.2">
      <c r="H71" s="52"/>
      <c r="I71" s="81"/>
      <c r="J71" s="81"/>
      <c r="K71" s="120" t="s">
        <v>370</v>
      </c>
      <c r="L71" s="122"/>
      <c r="M71" s="122"/>
      <c r="N71" s="121">
        <f>Inputs.Solar!N66*$N$67/Inputs.Solar!$N$66</f>
        <v>0.97234762979683997</v>
      </c>
      <c r="O71" s="121">
        <f>Inputs.Solar!O66*$N$67/Inputs.Solar!$N$66</f>
        <v>0.85238354890208146</v>
      </c>
      <c r="P71" s="121">
        <f>Inputs.Solar!P66*$N$67/Inputs.Solar!$N$66</f>
        <v>0.78220906014516856</v>
      </c>
      <c r="Q71" s="121">
        <f>Inputs.Solar!Q66*$N$67/Inputs.Solar!$N$66</f>
        <v>0.73241946800732294</v>
      </c>
      <c r="R71" s="121">
        <f>Inputs.Solar!R66*$N$67/Inputs.Solar!$N$66</f>
        <v>0.69379965998995996</v>
      </c>
      <c r="S71" s="121">
        <f>Inputs.Solar!S66*$N$67/Inputs.Solar!$N$66</f>
        <v>0.66224497925041004</v>
      </c>
      <c r="T71" s="121">
        <f>Inputs.Solar!T66*$N$67/Inputs.Solar!$N$66</f>
        <v>0.6355658768268232</v>
      </c>
      <c r="U71" s="121">
        <f>Inputs.Solar!U66*$N$67/Inputs.Solar!$N$66</f>
        <v>0.61245538711256453</v>
      </c>
      <c r="V71" s="121">
        <f>Inputs.Solar!V66*$N$67/Inputs.Solar!$N$66</f>
        <v>0.59207049049349691</v>
      </c>
      <c r="W71" s="121">
        <f>Inputs.Solar!W66*$N$67/Inputs.Solar!$N$66</f>
        <v>0.57383557909520144</v>
      </c>
      <c r="X71" s="121">
        <f>Inputs.Solar!X66*$N$67/Inputs.Solar!$N$66</f>
        <v>0.55734009524874983</v>
      </c>
      <c r="Y71" s="121">
        <f>Inputs.Solar!Y66*$N$67/Inputs.Solar!$N$66</f>
        <v>0.54228089835565141</v>
      </c>
      <c r="Z71" s="121">
        <f>Inputs.Solar!Z66*$N$67/Inputs.Solar!$N$66</f>
        <v>0.52842778010358471</v>
      </c>
      <c r="AA71" s="121">
        <f>Inputs.Solar!AA66*$N$67/Inputs.Solar!$N$66</f>
        <v>0.51560179593206468</v>
      </c>
    </row>
    <row r="72" spans="8:28" outlineLevel="1" x14ac:dyDescent="0.2">
      <c r="H72" s="52"/>
      <c r="I72" s="80" t="s">
        <v>345</v>
      </c>
      <c r="J72" s="80"/>
      <c r="K72" s="120"/>
      <c r="L72" s="122"/>
      <c r="M72" s="122"/>
      <c r="N72" s="122"/>
      <c r="O72" s="122"/>
      <c r="P72" s="122"/>
      <c r="Q72" s="122"/>
      <c r="R72" s="122"/>
      <c r="S72" s="122"/>
      <c r="T72" s="122"/>
      <c r="U72" s="122"/>
      <c r="V72" s="122"/>
      <c r="W72" s="122"/>
      <c r="X72" s="122"/>
      <c r="Y72" s="122"/>
      <c r="Z72" s="122"/>
      <c r="AA72" s="122"/>
    </row>
    <row r="73" spans="8:28" outlineLevel="1" x14ac:dyDescent="0.2">
      <c r="H73" s="52"/>
      <c r="I73" s="81"/>
      <c r="J73" s="81"/>
      <c r="K73" s="120" t="s">
        <v>347</v>
      </c>
      <c r="L73" s="81"/>
      <c r="M73" s="122">
        <f>AVERAGE(M59:M60)</f>
        <v>73.844999999999999</v>
      </c>
      <c r="N73" s="81"/>
      <c r="O73" s="81"/>
      <c r="P73" s="81"/>
      <c r="Q73" s="81"/>
      <c r="R73" s="81"/>
      <c r="S73" s="81"/>
      <c r="T73" s="81"/>
      <c r="U73" s="81"/>
      <c r="V73" s="122">
        <f>AVERAGE(V59:V60)</f>
        <v>65.325000000000003</v>
      </c>
      <c r="W73" s="81"/>
      <c r="X73" s="81"/>
      <c r="Y73" s="81"/>
      <c r="Z73" s="81"/>
      <c r="AA73" s="81"/>
    </row>
    <row r="74" spans="8:28" outlineLevel="1" x14ac:dyDescent="0.2">
      <c r="H74" s="52"/>
      <c r="I74" s="81"/>
      <c r="J74" s="81"/>
      <c r="K74" s="120" t="s">
        <v>348</v>
      </c>
      <c r="L74" s="81"/>
      <c r="M74" s="122">
        <f>AVERAGE(M69,M62)</f>
        <v>65</v>
      </c>
      <c r="N74" s="81"/>
      <c r="O74" s="81"/>
      <c r="P74" s="81"/>
      <c r="Q74" s="81"/>
      <c r="R74" s="81"/>
      <c r="S74" s="81"/>
      <c r="T74" s="81"/>
      <c r="U74" s="81"/>
      <c r="V74" s="81"/>
      <c r="W74" s="81"/>
      <c r="X74" s="81"/>
      <c r="Y74" s="81"/>
      <c r="Z74" s="81"/>
      <c r="AA74" s="81"/>
    </row>
    <row r="75" spans="8:28" outlineLevel="1" x14ac:dyDescent="0.2">
      <c r="H75" s="52"/>
      <c r="I75" s="81"/>
      <c r="J75" s="81"/>
      <c r="K75" s="120" t="s">
        <v>349</v>
      </c>
      <c r="L75" s="81"/>
      <c r="M75" s="122">
        <f>AVERAGE($M$73:$M$74)*M67</f>
        <v>69.422499999999999</v>
      </c>
      <c r="N75" s="122">
        <f t="shared" ref="N75:AA75" si="5">AVERAGE($M$73:$M$74)*N67</f>
        <v>67.502803329571123</v>
      </c>
      <c r="O75" s="122">
        <f t="shared" si="5"/>
        <v>65.583106659142246</v>
      </c>
      <c r="P75" s="122">
        <f t="shared" si="5"/>
        <v>63.663409988713362</v>
      </c>
      <c r="Q75" s="122">
        <f t="shared" si="5"/>
        <v>61.743713318284421</v>
      </c>
      <c r="R75" s="122">
        <f t="shared" si="5"/>
        <v>60.440086455876745</v>
      </c>
      <c r="S75" s="122">
        <f t="shared" si="5"/>
        <v>59.136459593468992</v>
      </c>
      <c r="T75" s="122">
        <f t="shared" si="5"/>
        <v>57.832832731061316</v>
      </c>
      <c r="U75" s="122">
        <f t="shared" si="5"/>
        <v>56.529205868653563</v>
      </c>
      <c r="V75" s="122">
        <f t="shared" si="5"/>
        <v>55.225579006245844</v>
      </c>
      <c r="W75" s="122">
        <f t="shared" si="5"/>
        <v>55.225579006245844</v>
      </c>
      <c r="X75" s="122">
        <f t="shared" si="5"/>
        <v>55.225579006245844</v>
      </c>
      <c r="Y75" s="122">
        <f t="shared" si="5"/>
        <v>55.225579006245844</v>
      </c>
      <c r="Z75" s="122">
        <f t="shared" si="5"/>
        <v>55.225579006245844</v>
      </c>
      <c r="AA75" s="122">
        <f t="shared" si="5"/>
        <v>55.225579006245844</v>
      </c>
    </row>
    <row r="76" spans="8:28" outlineLevel="1" x14ac:dyDescent="0.2">
      <c r="H76" s="52"/>
      <c r="I76" s="81"/>
      <c r="J76" s="81"/>
      <c r="K76" s="120" t="s">
        <v>369</v>
      </c>
      <c r="L76" s="81"/>
      <c r="M76" s="122"/>
      <c r="N76" s="122">
        <f>AVERAGE($M$73:$M$74)*N67</f>
        <v>67.502803329571123</v>
      </c>
      <c r="O76" s="122">
        <f t="shared" ref="O76:AA76" si="6">AVERAGE($M$73:$M$74)*O67</f>
        <v>65.583106659142246</v>
      </c>
      <c r="P76" s="122">
        <f t="shared" si="6"/>
        <v>63.663409988713362</v>
      </c>
      <c r="Q76" s="122">
        <f t="shared" si="6"/>
        <v>61.743713318284421</v>
      </c>
      <c r="R76" s="122">
        <f t="shared" si="6"/>
        <v>60.440086455876745</v>
      </c>
      <c r="S76" s="122">
        <f t="shared" si="6"/>
        <v>59.136459593468992</v>
      </c>
      <c r="T76" s="122">
        <f t="shared" si="6"/>
        <v>57.832832731061316</v>
      </c>
      <c r="U76" s="122">
        <f t="shared" si="6"/>
        <v>56.529205868653563</v>
      </c>
      <c r="V76" s="122">
        <f t="shared" si="6"/>
        <v>55.225579006245844</v>
      </c>
      <c r="W76" s="122">
        <f t="shared" si="6"/>
        <v>55.225579006245844</v>
      </c>
      <c r="X76" s="122">
        <f t="shared" si="6"/>
        <v>55.225579006245844</v>
      </c>
      <c r="Y76" s="122">
        <f t="shared" si="6"/>
        <v>55.225579006245844</v>
      </c>
      <c r="Z76" s="122">
        <f t="shared" si="6"/>
        <v>55.225579006245844</v>
      </c>
      <c r="AA76" s="122">
        <f t="shared" si="6"/>
        <v>55.225579006245844</v>
      </c>
    </row>
    <row r="77" spans="8:28" outlineLevel="1" x14ac:dyDescent="0.2">
      <c r="H77" s="52"/>
      <c r="I77" s="106" t="s">
        <v>350</v>
      </c>
      <c r="J77" s="107"/>
      <c r="K77" s="82"/>
      <c r="L77" s="83"/>
      <c r="M77" s="86"/>
      <c r="N77" s="111"/>
      <c r="O77" s="122"/>
      <c r="P77" s="122"/>
      <c r="Q77" s="122"/>
      <c r="R77" s="122"/>
      <c r="S77" s="122"/>
      <c r="T77" s="122"/>
      <c r="U77" s="122"/>
      <c r="V77" s="122"/>
      <c r="W77" s="122"/>
      <c r="X77" s="122"/>
      <c r="Y77" s="122"/>
      <c r="Z77" s="122"/>
      <c r="AA77" s="122"/>
    </row>
    <row r="78" spans="8:28" outlineLevel="1" x14ac:dyDescent="0.2">
      <c r="H78" s="52"/>
      <c r="I78" s="106"/>
      <c r="J78" s="107" t="s">
        <v>371</v>
      </c>
      <c r="K78" s="82"/>
      <c r="L78" s="83"/>
      <c r="M78" s="86"/>
      <c r="N78" s="111"/>
      <c r="O78" s="122"/>
      <c r="P78" s="122"/>
      <c r="Q78" s="122"/>
      <c r="R78" s="122"/>
      <c r="S78" s="122"/>
      <c r="T78" s="122"/>
      <c r="U78" s="122"/>
      <c r="V78" s="122"/>
      <c r="W78" s="122"/>
      <c r="X78" s="122"/>
      <c r="Y78" s="122"/>
      <c r="Z78" s="122"/>
      <c r="AA78" s="122"/>
    </row>
    <row r="79" spans="8:28" outlineLevel="1" x14ac:dyDescent="0.2">
      <c r="H79" s="52"/>
      <c r="I79" s="106"/>
      <c r="J79" s="107"/>
      <c r="K79" s="82" t="s">
        <v>352</v>
      </c>
      <c r="L79" s="83"/>
      <c r="M79" s="86"/>
      <c r="N79" s="135">
        <v>87</v>
      </c>
      <c r="O79" s="122"/>
      <c r="P79" s="122"/>
      <c r="Q79" s="122"/>
      <c r="R79" s="122"/>
      <c r="S79" s="122"/>
      <c r="T79" s="122"/>
      <c r="U79" s="122"/>
      <c r="V79" s="122"/>
      <c r="W79" s="122"/>
      <c r="X79" s="122"/>
      <c r="Y79" s="122"/>
      <c r="Z79" s="122"/>
      <c r="AA79" s="122"/>
    </row>
    <row r="80" spans="8:28" outlineLevel="1" x14ac:dyDescent="0.2">
      <c r="H80" s="52"/>
      <c r="I80" s="106"/>
      <c r="J80" s="107"/>
      <c r="K80" s="88" t="s">
        <v>372</v>
      </c>
      <c r="L80" s="83"/>
      <c r="M80" s="86"/>
      <c r="N80" s="134">
        <f>AVERAGE(N79:N79)</f>
        <v>87</v>
      </c>
      <c r="O80" s="122"/>
      <c r="P80" s="122"/>
      <c r="Q80" s="122"/>
      <c r="R80" s="122"/>
      <c r="S80" s="122"/>
      <c r="T80" s="122"/>
      <c r="U80" s="122"/>
      <c r="V80" s="122"/>
      <c r="W80" s="122"/>
      <c r="X80" s="122"/>
      <c r="Y80" s="122"/>
      <c r="Z80" s="122"/>
      <c r="AA80" s="122"/>
    </row>
    <row r="81" spans="2:31" outlineLevel="1" x14ac:dyDescent="0.2">
      <c r="H81" s="52"/>
      <c r="I81" s="83"/>
      <c r="J81" s="107" t="s">
        <v>373</v>
      </c>
      <c r="K81" s="82"/>
      <c r="L81" s="83"/>
      <c r="M81" s="86"/>
      <c r="N81" s="111"/>
      <c r="O81" s="122"/>
      <c r="P81" s="122"/>
      <c r="Q81" s="122"/>
      <c r="R81" s="122"/>
      <c r="S81" s="122"/>
      <c r="T81" s="122"/>
      <c r="U81" s="122"/>
      <c r="V81" s="122"/>
      <c r="W81" s="122"/>
      <c r="X81" s="122"/>
      <c r="Y81" s="122"/>
      <c r="Z81" s="122"/>
      <c r="AA81" s="122"/>
    </row>
    <row r="82" spans="2:31" outlineLevel="1" x14ac:dyDescent="0.2">
      <c r="H82" s="52"/>
      <c r="I82" s="83"/>
      <c r="J82" s="107"/>
      <c r="K82" s="82" t="s">
        <v>352</v>
      </c>
      <c r="L82" s="83"/>
      <c r="M82" s="86"/>
      <c r="N82" s="135">
        <v>92</v>
      </c>
      <c r="O82" s="122"/>
      <c r="P82" s="122"/>
      <c r="Q82" s="122"/>
      <c r="R82" s="122"/>
      <c r="S82" s="122"/>
      <c r="T82" s="122"/>
      <c r="U82" s="122"/>
      <c r="V82" s="122"/>
      <c r="W82" s="122"/>
      <c r="X82" s="122"/>
      <c r="Y82" s="122"/>
      <c r="Z82" s="122"/>
      <c r="AA82" s="122"/>
    </row>
    <row r="83" spans="2:31" outlineLevel="1" x14ac:dyDescent="0.2">
      <c r="H83" s="52"/>
      <c r="I83" s="83"/>
      <c r="J83" s="107"/>
      <c r="K83" s="88" t="s">
        <v>373</v>
      </c>
      <c r="L83" s="83"/>
      <c r="M83" s="86"/>
      <c r="N83" s="134">
        <f>AVERAGE(N82:N82)</f>
        <v>92</v>
      </c>
      <c r="O83" s="122"/>
      <c r="P83" s="122"/>
      <c r="Q83" s="122"/>
      <c r="R83" s="122"/>
      <c r="S83" s="122"/>
      <c r="T83" s="122"/>
      <c r="U83" s="122"/>
      <c r="V83" s="122"/>
      <c r="W83" s="122"/>
      <c r="X83" s="122"/>
      <c r="Y83" s="122"/>
      <c r="Z83" s="122"/>
      <c r="AA83" s="122"/>
    </row>
    <row r="84" spans="2:31" outlineLevel="1" x14ac:dyDescent="0.2">
      <c r="H84" s="52"/>
      <c r="I84" s="138"/>
      <c r="J84" s="138"/>
      <c r="K84" s="138"/>
      <c r="L84" s="138"/>
      <c r="M84" s="138"/>
      <c r="N84" s="138"/>
      <c r="O84" s="138"/>
      <c r="P84" s="138"/>
      <c r="Q84" s="138"/>
      <c r="R84" s="138"/>
      <c r="S84" s="138"/>
      <c r="T84" s="138"/>
      <c r="U84" s="138"/>
      <c r="V84" s="138"/>
      <c r="W84" s="138"/>
      <c r="X84" s="138"/>
      <c r="Y84" s="138"/>
      <c r="Z84" s="138"/>
      <c r="AA84" s="138"/>
    </row>
    <row r="85" spans="2:31" outlineLevel="1" x14ac:dyDescent="0.2">
      <c r="H85" s="52"/>
      <c r="I85" s="103" t="s">
        <v>355</v>
      </c>
      <c r="J85" s="92"/>
      <c r="K85" s="129"/>
      <c r="L85" s="96"/>
      <c r="M85" s="124"/>
      <c r="N85" s="124"/>
      <c r="O85" s="124"/>
      <c r="P85" s="124"/>
      <c r="Q85" s="124"/>
      <c r="R85" s="124"/>
      <c r="S85" s="124"/>
      <c r="T85" s="124"/>
      <c r="U85" s="124"/>
      <c r="V85" s="124"/>
      <c r="W85" s="124"/>
      <c r="X85" s="124"/>
      <c r="Y85" s="124"/>
      <c r="Z85" s="124"/>
      <c r="AA85" s="124"/>
    </row>
    <row r="86" spans="2:31" outlineLevel="1" x14ac:dyDescent="0.2">
      <c r="H86" s="52"/>
      <c r="I86" s="96"/>
      <c r="J86" s="96"/>
      <c r="K86" s="97" t="s">
        <v>356</v>
      </c>
      <c r="L86" s="123"/>
      <c r="M86" s="124">
        <f t="shared" ref="M86:AA86" si="7">AVERAGE(M73:M76)*USD_to_CAD</f>
        <v>90.249250000000004</v>
      </c>
      <c r="N86" s="124">
        <f t="shared" si="7"/>
        <v>87.753644328442462</v>
      </c>
      <c r="O86" s="124">
        <f t="shared" si="7"/>
        <v>85.258038656884921</v>
      </c>
      <c r="P86" s="124">
        <f t="shared" si="7"/>
        <v>82.762432985327379</v>
      </c>
      <c r="Q86" s="124">
        <f t="shared" si="7"/>
        <v>80.266827313769753</v>
      </c>
      <c r="R86" s="124">
        <f t="shared" si="7"/>
        <v>78.572112392639767</v>
      </c>
      <c r="S86" s="124">
        <f t="shared" si="7"/>
        <v>76.877397471509695</v>
      </c>
      <c r="T86" s="124">
        <f t="shared" si="7"/>
        <v>75.18268255037971</v>
      </c>
      <c r="U86" s="124">
        <f t="shared" si="7"/>
        <v>73.487967629249638</v>
      </c>
      <c r="V86" s="124">
        <f t="shared" si="7"/>
        <v>76.169668472079735</v>
      </c>
      <c r="W86" s="124">
        <f t="shared" si="7"/>
        <v>71.793252708119596</v>
      </c>
      <c r="X86" s="124">
        <f t="shared" si="7"/>
        <v>71.793252708119596</v>
      </c>
      <c r="Y86" s="124">
        <f t="shared" si="7"/>
        <v>71.793252708119596</v>
      </c>
      <c r="Z86" s="124">
        <f t="shared" si="7"/>
        <v>71.793252708119596</v>
      </c>
      <c r="AA86" s="124">
        <f t="shared" si="7"/>
        <v>71.793252708119596</v>
      </c>
    </row>
    <row r="87" spans="2:31" outlineLevel="1" x14ac:dyDescent="0.2">
      <c r="H87" s="52"/>
      <c r="I87" s="96"/>
      <c r="J87" s="96"/>
      <c r="K87" s="105" t="s">
        <v>357</v>
      </c>
      <c r="L87" s="96"/>
      <c r="M87" s="124"/>
      <c r="N87" s="124">
        <f t="shared" ref="N87:AA87" si="8">-7.679*LN(N4-2020)+90.193</f>
        <v>84.870322800480182</v>
      </c>
      <c r="O87" s="124">
        <f t="shared" si="8"/>
        <v>81.756756235317582</v>
      </c>
      <c r="P87" s="124">
        <f t="shared" si="8"/>
        <v>79.547645600960351</v>
      </c>
      <c r="Q87" s="124">
        <f t="shared" si="8"/>
        <v>77.834126270418537</v>
      </c>
      <c r="R87" s="124">
        <f t="shared" si="8"/>
        <v>76.434079035797765</v>
      </c>
      <c r="S87" s="124">
        <f t="shared" si="8"/>
        <v>75.250355965404253</v>
      </c>
      <c r="T87" s="124">
        <f t="shared" si="8"/>
        <v>74.224968401440535</v>
      </c>
      <c r="U87" s="124">
        <f t="shared" si="8"/>
        <v>73.320512470635165</v>
      </c>
      <c r="V87" s="124">
        <f t="shared" si="8"/>
        <v>72.51144907089872</v>
      </c>
      <c r="W87" s="124">
        <f t="shared" si="8"/>
        <v>71.779562200181317</v>
      </c>
      <c r="X87" s="124">
        <f t="shared" si="8"/>
        <v>71.111401836277935</v>
      </c>
      <c r="Y87" s="124">
        <f t="shared" si="8"/>
        <v>70.49675388405285</v>
      </c>
      <c r="Z87" s="124">
        <f t="shared" si="8"/>
        <v>69.927678765884423</v>
      </c>
      <c r="AA87" s="124">
        <f t="shared" si="8"/>
        <v>69.397882505736135</v>
      </c>
    </row>
    <row r="88" spans="2:31" outlineLevel="1" x14ac:dyDescent="0.2">
      <c r="H88" s="52"/>
      <c r="I88" s="96"/>
      <c r="J88" s="96"/>
      <c r="K88" s="105" t="s">
        <v>358</v>
      </c>
      <c r="L88" s="96"/>
      <c r="M88" s="124"/>
      <c r="N88" s="124" cm="1">
        <f t="array" ref="N88:AA88">forecast_es.battery.inverter.costs_CA*$N$80/$N$87</f>
        <v>87</v>
      </c>
      <c r="O88" s="124">
        <v>83.808303748225953</v>
      </c>
      <c r="P88" s="124">
        <v>81.543759219028146</v>
      </c>
      <c r="Q88" s="124">
        <v>79.787242019163145</v>
      </c>
      <c r="R88" s="124">
        <v>78.352062967254113</v>
      </c>
      <c r="S88" s="124">
        <v>77.138636368579114</v>
      </c>
      <c r="T88" s="124">
        <v>76.087518438056307</v>
      </c>
      <c r="U88" s="124">
        <v>75.160366715480066</v>
      </c>
      <c r="V88" s="124">
        <v>74.33100123819132</v>
      </c>
      <c r="W88" s="124">
        <v>73.58074890437959</v>
      </c>
      <c r="X88" s="124">
        <v>72.89582218628226</v>
      </c>
      <c r="Y88" s="124">
        <v>72.265750683322452</v>
      </c>
      <c r="Z88" s="124">
        <v>71.682395587607274</v>
      </c>
      <c r="AA88" s="124">
        <v>71.139304986417272</v>
      </c>
    </row>
    <row r="89" spans="2:31" outlineLevel="1" x14ac:dyDescent="0.2">
      <c r="H89" s="52"/>
      <c r="I89" s="96"/>
      <c r="J89" s="96"/>
      <c r="K89" s="105" t="s">
        <v>359</v>
      </c>
      <c r="L89" s="96"/>
      <c r="M89" s="124"/>
      <c r="N89" s="124" cm="1">
        <f t="array" ref="N89:AA89">forecast_es.battery.inverter.costs_CA*$N$83/$N$87</f>
        <v>92</v>
      </c>
      <c r="O89" s="124">
        <v>88.624872929158485</v>
      </c>
      <c r="P89" s="124">
        <v>86.230182162650451</v>
      </c>
      <c r="Q89" s="124">
        <v>84.372715698425395</v>
      </c>
      <c r="R89" s="124">
        <v>82.85505509180895</v>
      </c>
      <c r="S89" s="124">
        <v>81.571891332290562</v>
      </c>
      <c r="T89" s="124">
        <v>80.460364325300915</v>
      </c>
      <c r="U89" s="124">
        <v>79.479928020967421</v>
      </c>
      <c r="V89" s="124">
        <v>78.60289786107586</v>
      </c>
      <c r="W89" s="124">
        <v>77.809527577045088</v>
      </c>
      <c r="X89" s="124">
        <v>77.0852372544594</v>
      </c>
      <c r="Y89" s="124">
        <v>76.418954745582369</v>
      </c>
      <c r="Z89" s="124">
        <v>75.802073494941013</v>
      </c>
      <c r="AA89" s="124">
        <v>75.227770790234359</v>
      </c>
    </row>
    <row r="90" spans="2:31" x14ac:dyDescent="0.2">
      <c r="F90" s="60"/>
      <c r="G90" s="60"/>
      <c r="H90" s="60"/>
      <c r="I90" s="60"/>
      <c r="J90" s="60"/>
      <c r="K90" s="60"/>
      <c r="M90" s="53"/>
      <c r="N90" s="53"/>
      <c r="O90" s="53"/>
      <c r="P90" s="53"/>
      <c r="Q90" s="53"/>
      <c r="R90" s="53"/>
      <c r="S90" s="53"/>
      <c r="T90" s="53"/>
      <c r="U90" s="53"/>
      <c r="V90" s="53"/>
      <c r="W90" s="53"/>
      <c r="X90" s="53"/>
      <c r="Y90" s="53"/>
      <c r="Z90" s="53"/>
      <c r="AA90" s="53"/>
    </row>
    <row r="91" spans="2:31" x14ac:dyDescent="0.2">
      <c r="B91" s="63"/>
      <c r="C91" s="64"/>
      <c r="D91" s="65"/>
      <c r="G91"/>
      <c r="H91" s="72" t="s">
        <v>259</v>
      </c>
      <c r="K91" s="39"/>
      <c r="L91" s="39"/>
      <c r="M91" s="39"/>
      <c r="N91" s="39"/>
      <c r="O91" s="39"/>
      <c r="P91" s="39"/>
      <c r="Q91" s="39"/>
      <c r="R91" s="39"/>
      <c r="S91" s="39"/>
      <c r="T91" s="39"/>
      <c r="U91" s="39"/>
      <c r="V91" s="39"/>
      <c r="W91" s="39"/>
      <c r="X91" s="39"/>
      <c r="Y91" s="39"/>
      <c r="Z91" s="39"/>
      <c r="AA91" s="39"/>
    </row>
    <row r="92" spans="2:31" outlineLevel="1" x14ac:dyDescent="0.2">
      <c r="G92" s="52"/>
      <c r="I92" s="80" t="s">
        <v>310</v>
      </c>
      <c r="J92" s="81"/>
      <c r="K92" s="81"/>
      <c r="L92" s="81"/>
      <c r="M92" s="81"/>
      <c r="N92" s="81"/>
      <c r="O92" s="81"/>
      <c r="P92" s="81"/>
      <c r="Q92" s="81"/>
      <c r="R92" s="81"/>
      <c r="S92" s="81"/>
      <c r="T92" s="81"/>
      <c r="U92" s="81"/>
      <c r="V92" s="81"/>
      <c r="W92" s="81"/>
      <c r="X92" s="81"/>
      <c r="Y92" s="81"/>
      <c r="Z92" s="81"/>
      <c r="AA92" s="81"/>
    </row>
    <row r="93" spans="2:31" outlineLevel="1" x14ac:dyDescent="0.2">
      <c r="I93" s="81"/>
      <c r="J93" s="84" t="s">
        <v>321</v>
      </c>
      <c r="K93" s="120"/>
      <c r="L93" s="81"/>
      <c r="M93" s="81"/>
      <c r="N93" s="81"/>
      <c r="O93" s="81"/>
      <c r="P93" s="81"/>
      <c r="Q93" s="81"/>
      <c r="R93" s="81"/>
      <c r="S93" s="81"/>
      <c r="T93" s="81"/>
      <c r="U93" s="81"/>
      <c r="V93" s="81"/>
      <c r="W93" s="81"/>
      <c r="X93" s="81"/>
      <c r="Y93" s="81"/>
      <c r="Z93" s="81"/>
      <c r="AA93" s="81"/>
    </row>
    <row r="94" spans="2:31" outlineLevel="1" x14ac:dyDescent="0.2">
      <c r="I94" s="81"/>
      <c r="J94" s="81"/>
      <c r="K94" s="130" t="s">
        <v>374</v>
      </c>
      <c r="L94" s="122"/>
      <c r="M94" s="81"/>
      <c r="N94" s="131">
        <f>38.47</f>
        <v>38.47</v>
      </c>
      <c r="O94" s="131"/>
      <c r="P94" s="131"/>
      <c r="Q94" s="131"/>
      <c r="R94" s="131"/>
      <c r="S94" s="131"/>
      <c r="T94" s="131"/>
      <c r="U94" s="131"/>
      <c r="V94" s="131">
        <v>28.73</v>
      </c>
      <c r="W94" s="122"/>
      <c r="X94" s="122"/>
      <c r="Y94" s="122"/>
      <c r="Z94" s="122"/>
      <c r="AA94" s="81"/>
      <c r="AE94" s="32" t="s">
        <v>375</v>
      </c>
    </row>
    <row r="95" spans="2:31" outlineLevel="1" x14ac:dyDescent="0.2">
      <c r="I95" s="81"/>
      <c r="J95" s="81"/>
      <c r="K95" s="130" t="s">
        <v>376</v>
      </c>
      <c r="L95" s="122"/>
      <c r="M95" s="81"/>
      <c r="N95" s="131">
        <v>37.5</v>
      </c>
      <c r="O95" s="131"/>
      <c r="P95" s="131"/>
      <c r="Q95" s="131"/>
      <c r="R95" s="131"/>
      <c r="S95" s="131"/>
      <c r="T95" s="131"/>
      <c r="U95" s="131"/>
      <c r="V95" s="131">
        <v>28</v>
      </c>
      <c r="W95" s="122"/>
      <c r="X95" s="122"/>
      <c r="Y95" s="122"/>
      <c r="Z95" s="122"/>
      <c r="AA95" s="81"/>
    </row>
    <row r="96" spans="2:31" outlineLevel="1" x14ac:dyDescent="0.2">
      <c r="I96" s="81"/>
      <c r="J96" s="84" t="s">
        <v>328</v>
      </c>
      <c r="K96" s="120"/>
      <c r="L96" s="122"/>
      <c r="M96" s="122"/>
      <c r="N96" s="122"/>
      <c r="O96" s="122"/>
      <c r="P96" s="122"/>
      <c r="Q96" s="122"/>
      <c r="R96" s="122"/>
      <c r="S96" s="122"/>
      <c r="T96" s="122"/>
      <c r="U96" s="122"/>
      <c r="V96" s="122"/>
      <c r="W96" s="122"/>
      <c r="X96" s="122"/>
      <c r="Y96" s="122"/>
      <c r="Z96" s="122"/>
      <c r="AA96" s="81"/>
    </row>
    <row r="97" spans="9:31" outlineLevel="1" x14ac:dyDescent="0.2">
      <c r="I97" s="81"/>
      <c r="J97" s="84"/>
      <c r="K97" s="120" t="s">
        <v>377</v>
      </c>
      <c r="L97" s="122">
        <f>AVERAGE(0.14,0.07)*1000</f>
        <v>105.00000000000001</v>
      </c>
      <c r="M97" s="122"/>
      <c r="N97" s="122"/>
      <c r="O97" s="122"/>
      <c r="P97" s="122"/>
      <c r="Q97" s="122"/>
      <c r="R97" s="122"/>
      <c r="S97" s="122"/>
      <c r="T97" s="122"/>
      <c r="U97" s="122"/>
      <c r="V97" s="122"/>
      <c r="W97" s="122"/>
      <c r="X97" s="122"/>
      <c r="Y97" s="122"/>
      <c r="Z97" s="122"/>
      <c r="AA97" s="81"/>
    </row>
    <row r="98" spans="9:31" outlineLevel="1" x14ac:dyDescent="0.2">
      <c r="I98" s="81"/>
      <c r="J98" s="84"/>
      <c r="K98" s="120" t="s">
        <v>378</v>
      </c>
      <c r="L98" s="122">
        <f>AVERAGE(0.01,0.05)*1000</f>
        <v>30.000000000000004</v>
      </c>
      <c r="M98" s="122"/>
      <c r="N98" s="122"/>
      <c r="O98" s="122"/>
      <c r="P98" s="122"/>
      <c r="Q98" s="122"/>
      <c r="R98" s="122"/>
      <c r="S98" s="122"/>
      <c r="T98" s="122"/>
      <c r="U98" s="122"/>
      <c r="V98" s="122"/>
      <c r="W98" s="122"/>
      <c r="X98" s="122"/>
      <c r="Y98" s="122"/>
      <c r="Z98" s="122"/>
      <c r="AA98" s="81"/>
    </row>
    <row r="99" spans="9:31" outlineLevel="1" x14ac:dyDescent="0.2">
      <c r="I99" s="81"/>
      <c r="J99" s="81"/>
      <c r="K99" s="120" t="s">
        <v>379</v>
      </c>
      <c r="L99" s="122"/>
      <c r="M99" s="122"/>
      <c r="N99" s="122">
        <f>INDEX(US.CPI,MATCH(2022,CPI.years,0))/INDEX(US.CPI,MATCH(2018,CPI.years,0))*L97/4</f>
        <v>28.504118762121497</v>
      </c>
      <c r="O99" s="122"/>
      <c r="P99" s="122"/>
      <c r="Q99" s="122"/>
      <c r="R99" s="122"/>
      <c r="S99" s="122"/>
      <c r="T99" s="122"/>
      <c r="U99" s="122"/>
      <c r="V99" s="122"/>
      <c r="W99" s="122"/>
      <c r="X99" s="122"/>
      <c r="Y99" s="122"/>
      <c r="Z99" s="122"/>
      <c r="AA99" s="81"/>
      <c r="AE99" s="32" t="s">
        <v>380</v>
      </c>
    </row>
    <row r="100" spans="9:31" outlineLevel="1" x14ac:dyDescent="0.2">
      <c r="I100" s="81"/>
      <c r="J100" s="81"/>
      <c r="K100" s="120" t="s">
        <v>381</v>
      </c>
      <c r="L100" s="122"/>
      <c r="M100" s="122"/>
      <c r="N100" s="122">
        <f>INDEX(US.CPI,MATCH(2022,CPI.years,0))/INDEX(US.CPI,MATCH(2018,CPI.years,0))*L98/4</f>
        <v>8.1440339320347128</v>
      </c>
      <c r="O100" s="122"/>
      <c r="P100" s="122"/>
      <c r="Q100" s="122"/>
      <c r="R100" s="122"/>
      <c r="S100" s="122"/>
      <c r="T100" s="122"/>
      <c r="U100" s="122"/>
      <c r="V100" s="122"/>
      <c r="W100" s="122"/>
      <c r="X100" s="122"/>
      <c r="Y100" s="122"/>
      <c r="Z100" s="122"/>
      <c r="AA100" s="81"/>
      <c r="AE100" s="32" t="s">
        <v>380</v>
      </c>
    </row>
    <row r="101" spans="9:31" outlineLevel="1" x14ac:dyDescent="0.2">
      <c r="I101" s="81"/>
      <c r="J101" s="84" t="s">
        <v>324</v>
      </c>
      <c r="K101" s="81"/>
      <c r="L101" s="122"/>
      <c r="M101" s="122"/>
      <c r="N101" s="122"/>
      <c r="O101" s="122"/>
      <c r="P101" s="122"/>
      <c r="Q101" s="122"/>
      <c r="R101" s="122"/>
      <c r="S101" s="122"/>
      <c r="T101" s="122"/>
      <c r="U101" s="122"/>
      <c r="V101" s="122"/>
      <c r="W101" s="122"/>
      <c r="X101" s="122"/>
      <c r="Y101" s="122"/>
      <c r="Z101" s="122"/>
      <c r="AA101" s="81"/>
    </row>
    <row r="102" spans="9:31" outlineLevel="1" x14ac:dyDescent="0.2">
      <c r="I102" s="81"/>
      <c r="J102" s="81"/>
      <c r="K102" s="120" t="s">
        <v>382</v>
      </c>
      <c r="L102" s="122">
        <f>AVERAGE(5936,5978)</f>
        <v>5957</v>
      </c>
      <c r="M102" s="122"/>
      <c r="N102" s="122"/>
      <c r="O102" s="122"/>
      <c r="P102" s="122"/>
      <c r="Q102" s="122"/>
      <c r="R102" s="122"/>
      <c r="S102" s="122"/>
      <c r="T102" s="122"/>
      <c r="U102" s="122"/>
      <c r="V102" s="122"/>
      <c r="W102" s="122"/>
      <c r="X102" s="122"/>
      <c r="Y102" s="122"/>
      <c r="Z102" s="122"/>
      <c r="AA102" s="81"/>
    </row>
    <row r="103" spans="9:31" outlineLevel="1" x14ac:dyDescent="0.2">
      <c r="I103" s="81"/>
      <c r="J103" s="81"/>
      <c r="K103" s="120" t="s">
        <v>383</v>
      </c>
      <c r="L103" s="122">
        <f>AVERAGE(500,476)</f>
        <v>488</v>
      </c>
      <c r="M103" s="122"/>
      <c r="N103" s="122"/>
      <c r="O103" s="122"/>
      <c r="P103" s="122"/>
      <c r="Q103" s="122"/>
      <c r="R103" s="122"/>
      <c r="S103" s="122"/>
      <c r="T103" s="122"/>
      <c r="U103" s="122"/>
      <c r="V103" s="122"/>
      <c r="W103" s="122"/>
      <c r="X103" s="122"/>
      <c r="Y103" s="122"/>
      <c r="Z103" s="122"/>
      <c r="AA103" s="81"/>
    </row>
    <row r="104" spans="9:31" outlineLevel="1" x14ac:dyDescent="0.2">
      <c r="I104" s="81"/>
      <c r="J104" s="81"/>
      <c r="K104" s="120" t="s">
        <v>384</v>
      </c>
      <c r="L104" s="122">
        <f>(4*1000/30)</f>
        <v>133.33333333333334</v>
      </c>
      <c r="M104" s="122"/>
      <c r="N104" s="122"/>
      <c r="O104" s="122"/>
      <c r="P104" s="122"/>
      <c r="Q104" s="122"/>
      <c r="R104" s="122"/>
      <c r="S104" s="122"/>
      <c r="T104" s="122"/>
      <c r="U104" s="122"/>
      <c r="V104" s="122"/>
      <c r="W104" s="122"/>
      <c r="X104" s="122"/>
      <c r="Y104" s="122"/>
      <c r="Z104" s="122"/>
      <c r="AA104" s="81"/>
    </row>
    <row r="105" spans="9:31" outlineLevel="1" x14ac:dyDescent="0.2">
      <c r="I105" s="81"/>
      <c r="J105" s="81"/>
      <c r="K105" s="120" t="s">
        <v>385</v>
      </c>
      <c r="L105" s="122"/>
      <c r="M105" s="122"/>
      <c r="N105" s="122">
        <f>INDEX(US.CPI,MATCH(2022,CPI.years,0))/INDEX(US.CPI,MATCH(2020,CPI.years,0))*L102/L104</f>
        <v>47.069898661571855</v>
      </c>
      <c r="O105" s="122"/>
      <c r="P105" s="122"/>
      <c r="Q105" s="122"/>
      <c r="R105" s="122"/>
      <c r="S105" s="122"/>
      <c r="T105" s="122"/>
      <c r="U105" s="122"/>
      <c r="V105" s="122"/>
      <c r="W105" s="122"/>
      <c r="X105" s="122"/>
      <c r="Y105" s="122"/>
      <c r="Z105" s="122"/>
      <c r="AA105" s="81"/>
    </row>
    <row r="106" spans="9:31" outlineLevel="1" x14ac:dyDescent="0.2">
      <c r="I106" s="81"/>
      <c r="J106" s="81"/>
      <c r="K106" s="120" t="s">
        <v>386</v>
      </c>
      <c r="L106" s="122"/>
      <c r="M106" s="122"/>
      <c r="N106" s="122">
        <f>INDEX(US.CPI,MATCH(2022,CPI.years,0))/INDEX(US.CPI,MATCH(2020,CPI.years,0))*L103/L104</f>
        <v>3.8559863264809575</v>
      </c>
      <c r="O106" s="122"/>
      <c r="P106" s="122"/>
      <c r="Q106" s="122"/>
      <c r="R106" s="122"/>
      <c r="S106" s="122"/>
      <c r="T106" s="122"/>
      <c r="U106" s="122"/>
      <c r="V106" s="122"/>
      <c r="W106" s="122"/>
      <c r="X106" s="122"/>
      <c r="Y106" s="122"/>
      <c r="Z106" s="122"/>
      <c r="AA106" s="81"/>
    </row>
    <row r="107" spans="9:31" outlineLevel="1" x14ac:dyDescent="0.2">
      <c r="I107" s="81"/>
      <c r="J107" s="81"/>
      <c r="K107" s="114" t="s">
        <v>387</v>
      </c>
      <c r="L107" s="122"/>
      <c r="M107" s="122"/>
      <c r="N107" s="122">
        <f>AVERAGE(N105,N99)</f>
        <v>37.787008711846674</v>
      </c>
      <c r="O107" s="122"/>
      <c r="P107" s="122"/>
      <c r="Q107" s="122"/>
      <c r="R107" s="122"/>
      <c r="S107" s="122"/>
      <c r="T107" s="122"/>
      <c r="U107" s="122"/>
      <c r="V107" s="122"/>
      <c r="W107" s="122"/>
      <c r="X107" s="122"/>
      <c r="Y107" s="122"/>
      <c r="Z107" s="122"/>
      <c r="AA107" s="81"/>
    </row>
    <row r="108" spans="9:31" outlineLevel="1" x14ac:dyDescent="0.2">
      <c r="I108" s="81"/>
      <c r="J108" s="81"/>
      <c r="K108" s="114" t="s">
        <v>388</v>
      </c>
      <c r="L108" s="122"/>
      <c r="M108" s="122"/>
      <c r="N108" s="122">
        <f>AVERAGE(N106,N100)</f>
        <v>6.0000101292578352</v>
      </c>
      <c r="O108" s="122"/>
      <c r="P108" s="122"/>
      <c r="Q108" s="122"/>
      <c r="R108" s="122"/>
      <c r="S108" s="122"/>
      <c r="T108" s="122"/>
      <c r="U108" s="122"/>
      <c r="V108" s="122"/>
      <c r="W108" s="122"/>
      <c r="X108" s="122"/>
      <c r="Y108" s="122"/>
      <c r="Z108" s="122"/>
      <c r="AA108" s="81"/>
    </row>
    <row r="109" spans="9:31" outlineLevel="1" x14ac:dyDescent="0.2">
      <c r="I109" s="81"/>
      <c r="J109" s="81"/>
      <c r="K109" s="81"/>
      <c r="L109" s="81"/>
      <c r="M109" s="81"/>
      <c r="N109" s="81"/>
      <c r="O109" s="81"/>
      <c r="P109" s="81"/>
      <c r="Q109" s="81"/>
      <c r="R109" s="81"/>
      <c r="S109" s="81"/>
      <c r="T109" s="81"/>
      <c r="U109" s="81"/>
      <c r="V109" s="81"/>
      <c r="W109" s="81"/>
      <c r="X109" s="81"/>
      <c r="Y109" s="81"/>
      <c r="Z109" s="81"/>
      <c r="AA109" s="81"/>
    </row>
    <row r="110" spans="9:31" outlineLevel="1" x14ac:dyDescent="0.2">
      <c r="I110" s="81"/>
      <c r="J110" s="80" t="s">
        <v>345</v>
      </c>
      <c r="K110" s="81"/>
      <c r="L110" s="81"/>
      <c r="M110" s="81"/>
      <c r="N110" s="81"/>
      <c r="O110" s="81"/>
      <c r="P110" s="81"/>
      <c r="Q110" s="81"/>
      <c r="R110" s="81"/>
      <c r="S110" s="81"/>
      <c r="T110" s="81"/>
      <c r="U110" s="81"/>
      <c r="V110" s="81"/>
      <c r="W110" s="81"/>
      <c r="X110" s="81"/>
      <c r="Y110" s="81"/>
      <c r="Z110" s="81"/>
      <c r="AA110" s="81"/>
    </row>
    <row r="111" spans="9:31" outlineLevel="1" x14ac:dyDescent="0.2">
      <c r="I111" s="81"/>
      <c r="J111" s="81"/>
      <c r="K111" s="120" t="s">
        <v>389</v>
      </c>
      <c r="L111" s="81"/>
      <c r="M111" s="81"/>
      <c r="N111" s="122">
        <f>AVERAGE(N$94:N$95)/AVERAGE($N$94:$N$95)*$N$107</f>
        <v>37.787008711846674</v>
      </c>
      <c r="O111" s="81"/>
      <c r="P111" s="81"/>
      <c r="Q111" s="81"/>
      <c r="R111" s="81"/>
      <c r="S111" s="81"/>
      <c r="T111" s="81"/>
      <c r="U111" s="81"/>
      <c r="V111" s="122">
        <f>AVERAGE(V$94:V$95)/AVERAGE($N$94:$N$95)*$N$107</f>
        <v>28.217151562762432</v>
      </c>
      <c r="W111" s="81"/>
      <c r="X111" s="81"/>
      <c r="Y111" s="81"/>
      <c r="Z111" s="81"/>
      <c r="AA111" s="81"/>
    </row>
    <row r="112" spans="9:31" outlineLevel="1" x14ac:dyDescent="0.2">
      <c r="I112" s="81"/>
      <c r="J112" s="81"/>
      <c r="K112" s="120" t="s">
        <v>390</v>
      </c>
      <c r="L112" s="81"/>
      <c r="M112" s="81"/>
      <c r="N112" s="122">
        <f>Inputs.Solar!N103*$N$107/Inputs.Solar!$N$103</f>
        <v>37.787008711846674</v>
      </c>
      <c r="O112" s="122">
        <f>Inputs.Solar!O103*$N$107/Inputs.Solar!$N$103</f>
        <v>35.850673744419019</v>
      </c>
      <c r="P112" s="122">
        <f>Inputs.Solar!P103*$N$107/Inputs.Solar!$N$103</f>
        <v>34.71799039963873</v>
      </c>
      <c r="Q112" s="122">
        <f>Inputs.Solar!Q103*$N$107/Inputs.Solar!$N$103</f>
        <v>33.914338776991372</v>
      </c>
      <c r="R112" s="122">
        <f>Inputs.Solar!R103*$N$107/Inputs.Solar!$N$103</f>
        <v>33.290978149863612</v>
      </c>
      <c r="S112" s="122">
        <f>Inputs.Solar!S103*$N$107/Inputs.Solar!$N$103</f>
        <v>32.781655432211075</v>
      </c>
      <c r="T112" s="122">
        <f>Inputs.Solar!T103*$N$107/Inputs.Solar!$N$103</f>
        <v>32.351029210286399</v>
      </c>
      <c r="U112" s="122">
        <f>Inputs.Solar!U103*$N$107/Inputs.Solar!$N$103</f>
        <v>31.97800380956372</v>
      </c>
      <c r="V112" s="122">
        <f>Inputs.Solar!V103*$N$107/Inputs.Solar!$N$103</f>
        <v>31.648972087430774</v>
      </c>
      <c r="W112" s="122">
        <f>Inputs.Solar!W103*$N$107/Inputs.Solar!$N$103</f>
        <v>31.354643182435954</v>
      </c>
      <c r="X112" s="122">
        <f>Inputs.Solar!X103*$N$107/Inputs.Solar!$N$103</f>
        <v>31.088390301254435</v>
      </c>
      <c r="Y112" s="122">
        <f>Inputs.Solar!Y103*$N$107/Inputs.Solar!$N$103</f>
        <v>30.845320464783423</v>
      </c>
      <c r="Z112" s="122">
        <f>Inputs.Solar!Z103*$N$107/Inputs.Solar!$N$103</f>
        <v>30.621717890751952</v>
      </c>
      <c r="AA112" s="122">
        <f>Inputs.Solar!AA103*$N$107/Inputs.Solar!$N$103</f>
        <v>30.414694242858758</v>
      </c>
    </row>
    <row r="113" spans="9:27" outlineLevel="1" x14ac:dyDescent="0.2">
      <c r="I113" s="81"/>
      <c r="J113" s="81"/>
      <c r="K113" s="120" t="s">
        <v>391</v>
      </c>
      <c r="L113" s="81"/>
      <c r="M113" s="81"/>
      <c r="N113" s="122">
        <f>AVERAGE(N$94:N$95)/AVERAGE($N$94:$N$95)*$N$108</f>
        <v>6.0000101292578352</v>
      </c>
      <c r="O113" s="81"/>
      <c r="P113" s="81"/>
      <c r="Q113" s="81"/>
      <c r="R113" s="81"/>
      <c r="S113" s="81"/>
      <c r="T113" s="81"/>
      <c r="U113" s="81"/>
      <c r="V113" s="122">
        <f>AVERAGE(V$94:V$95)/AVERAGE($N$94:$N$95)*$N$108</f>
        <v>4.4804603742634859</v>
      </c>
      <c r="W113" s="81"/>
      <c r="X113" s="81"/>
      <c r="Y113" s="81"/>
      <c r="Z113" s="81"/>
      <c r="AA113" s="81"/>
    </row>
    <row r="114" spans="9:27" outlineLevel="1" x14ac:dyDescent="0.2">
      <c r="I114" s="81"/>
      <c r="J114" s="81"/>
      <c r="K114" s="120" t="s">
        <v>392</v>
      </c>
      <c r="L114" s="81"/>
      <c r="M114" s="81"/>
      <c r="N114" s="122">
        <f>Inputs.Solar!N104*$N$108/Inputs.Solar!$N$104</f>
        <v>6.0000101292578352</v>
      </c>
      <c r="O114" s="122">
        <f>Inputs.Solar!O104*$N$108/Inputs.Solar!$N$104</f>
        <v>5.743509614413381</v>
      </c>
      <c r="P114" s="122">
        <f>Inputs.Solar!P104*$N$108/Inputs.Solar!$N$104</f>
        <v>5.5934664318137042</v>
      </c>
      <c r="Q114" s="122">
        <f>Inputs.Solar!Q104*$N$108/Inputs.Solar!$N$104</f>
        <v>5.4870090995689269</v>
      </c>
      <c r="R114" s="122">
        <f>Inputs.Solar!R104*$N$108/Inputs.Solar!$N$104</f>
        <v>5.4044343774874246</v>
      </c>
      <c r="S114" s="122">
        <f>Inputs.Solar!S104*$N$108/Inputs.Solar!$N$104</f>
        <v>5.3369659169692509</v>
      </c>
      <c r="T114" s="122">
        <f>Inputs.Solar!T104*$N$108/Inputs.Solar!$N$104</f>
        <v>5.2799221463989472</v>
      </c>
      <c r="U114" s="122">
        <f>Inputs.Solar!U104*$N$108/Inputs.Solar!$N$104</f>
        <v>5.2305085847244728</v>
      </c>
      <c r="V114" s="122">
        <f>Inputs.Solar!V104*$N$108/Inputs.Solar!$N$104</f>
        <v>5.1869227343695758</v>
      </c>
      <c r="W114" s="122">
        <f>Inputs.Solar!W104*$N$108/Inputs.Solar!$N$104</f>
        <v>5.1479338626429696</v>
      </c>
      <c r="X114" s="122">
        <f>Inputs.Solar!X104*$N$108/Inputs.Solar!$N$104</f>
        <v>5.1126641380081859</v>
      </c>
      <c r="Y114" s="122">
        <f>Inputs.Solar!Y104*$N$108/Inputs.Solar!$N$104</f>
        <v>5.0804654021247959</v>
      </c>
      <c r="Z114" s="122">
        <f>Inputs.Solar!Z104*$N$108/Inputs.Solar!$N$104</f>
        <v>5.0508454364037778</v>
      </c>
      <c r="AA114" s="122">
        <f>Inputs.Solar!AA104*$N$108/Inputs.Solar!$N$104</f>
        <v>5.0234216315544939</v>
      </c>
    </row>
    <row r="115" spans="9:27" outlineLevel="1" x14ac:dyDescent="0.2">
      <c r="I115" s="81"/>
      <c r="J115" s="106" t="s">
        <v>350</v>
      </c>
      <c r="K115" s="107"/>
      <c r="L115" s="82"/>
      <c r="M115" s="83"/>
      <c r="N115" s="83"/>
      <c r="O115" s="117"/>
      <c r="P115" s="118"/>
      <c r="Q115" s="122"/>
      <c r="R115" s="122"/>
      <c r="S115" s="122"/>
      <c r="T115" s="122"/>
      <c r="U115" s="122"/>
      <c r="V115" s="122"/>
      <c r="W115" s="122"/>
      <c r="X115" s="122"/>
      <c r="Y115" s="122"/>
      <c r="Z115" s="122"/>
      <c r="AA115" s="122"/>
    </row>
    <row r="116" spans="9:27" outlineLevel="1" x14ac:dyDescent="0.2">
      <c r="I116" s="81"/>
      <c r="J116" s="106"/>
      <c r="K116" s="107" t="s">
        <v>393</v>
      </c>
      <c r="L116" s="82"/>
      <c r="M116" s="83"/>
      <c r="N116" s="83"/>
      <c r="O116" s="136" t="s">
        <v>394</v>
      </c>
      <c r="P116" s="136" t="s">
        <v>395</v>
      </c>
      <c r="Q116" s="122"/>
      <c r="R116" s="122"/>
      <c r="S116" s="122"/>
      <c r="T116" s="122"/>
      <c r="U116" s="122"/>
      <c r="V116" s="122"/>
      <c r="W116" s="122"/>
      <c r="X116" s="122"/>
      <c r="Y116" s="122"/>
      <c r="Z116" s="122"/>
      <c r="AA116" s="122"/>
    </row>
    <row r="117" spans="9:27" outlineLevel="1" x14ac:dyDescent="0.2">
      <c r="I117" s="81"/>
      <c r="J117" s="106"/>
      <c r="K117" s="107"/>
      <c r="L117" s="82" t="s">
        <v>352</v>
      </c>
      <c r="M117" s="83"/>
      <c r="N117" s="83"/>
      <c r="O117" s="135">
        <v>28</v>
      </c>
      <c r="P117" s="135">
        <v>13</v>
      </c>
      <c r="Q117" s="122"/>
      <c r="R117" s="122"/>
      <c r="S117" s="122"/>
      <c r="T117" s="122"/>
      <c r="U117" s="122"/>
      <c r="V117" s="122"/>
      <c r="W117" s="122"/>
      <c r="X117" s="122"/>
      <c r="Y117" s="122"/>
      <c r="Z117" s="122"/>
      <c r="AA117" s="122"/>
    </row>
    <row r="118" spans="9:27" outlineLevel="1" x14ac:dyDescent="0.2">
      <c r="I118" s="81"/>
      <c r="J118" s="106"/>
      <c r="K118" s="107"/>
      <c r="L118" s="88" t="s">
        <v>396</v>
      </c>
      <c r="M118" s="83"/>
      <c r="N118" s="83"/>
      <c r="O118" s="134">
        <f>AVERAGE(O117:O117)</f>
        <v>28</v>
      </c>
      <c r="P118" s="134">
        <f>AVERAGE(P117:P117)</f>
        <v>13</v>
      </c>
      <c r="Q118" s="122"/>
      <c r="R118" s="122"/>
      <c r="S118" s="122"/>
      <c r="T118" s="122"/>
      <c r="U118" s="122"/>
      <c r="V118" s="122"/>
      <c r="W118" s="122"/>
      <c r="X118" s="122"/>
      <c r="Y118" s="122"/>
      <c r="Z118" s="122"/>
      <c r="AA118" s="122"/>
    </row>
    <row r="119" spans="9:27" outlineLevel="1" x14ac:dyDescent="0.2">
      <c r="I119" s="81"/>
      <c r="J119" s="83"/>
      <c r="K119" s="107" t="s">
        <v>397</v>
      </c>
      <c r="L119" s="82"/>
      <c r="M119" s="83"/>
      <c r="N119" s="83"/>
      <c r="O119" s="111"/>
      <c r="P119" s="118"/>
      <c r="Q119" s="122"/>
      <c r="R119" s="122"/>
      <c r="S119" s="122"/>
      <c r="T119" s="122"/>
      <c r="U119" s="122"/>
      <c r="V119" s="122"/>
      <c r="W119" s="122"/>
      <c r="X119" s="122"/>
      <c r="Y119" s="122"/>
      <c r="Z119" s="122"/>
      <c r="AA119" s="122"/>
    </row>
    <row r="120" spans="9:27" outlineLevel="1" x14ac:dyDescent="0.2">
      <c r="I120" s="81"/>
      <c r="J120" s="83"/>
      <c r="K120" s="107"/>
      <c r="L120" s="82" t="s">
        <v>352</v>
      </c>
      <c r="M120" s="83"/>
      <c r="N120" s="83"/>
      <c r="O120" s="135">
        <v>32</v>
      </c>
      <c r="P120" s="135">
        <v>14</v>
      </c>
      <c r="Q120" s="122"/>
      <c r="R120" s="122"/>
      <c r="S120" s="122"/>
      <c r="T120" s="122"/>
      <c r="U120" s="122"/>
      <c r="V120" s="122"/>
      <c r="W120" s="122"/>
      <c r="X120" s="122"/>
      <c r="Y120" s="122"/>
      <c r="Z120" s="122"/>
      <c r="AA120" s="122"/>
    </row>
    <row r="121" spans="9:27" outlineLevel="1" x14ac:dyDescent="0.2">
      <c r="I121" s="81"/>
      <c r="J121" s="83"/>
      <c r="K121" s="107"/>
      <c r="L121" s="88" t="s">
        <v>397</v>
      </c>
      <c r="M121" s="83"/>
      <c r="N121" s="83"/>
      <c r="O121" s="134">
        <f>AVERAGE(O120:O120)</f>
        <v>32</v>
      </c>
      <c r="P121" s="134">
        <f>AVERAGE(P120:P120)</f>
        <v>14</v>
      </c>
      <c r="Q121" s="122"/>
      <c r="R121" s="122"/>
      <c r="S121" s="122"/>
      <c r="T121" s="122"/>
      <c r="U121" s="122"/>
      <c r="V121" s="122"/>
      <c r="W121" s="122"/>
      <c r="X121" s="122"/>
      <c r="Y121" s="122"/>
      <c r="Z121" s="122"/>
      <c r="AA121" s="122"/>
    </row>
    <row r="122" spans="9:27" outlineLevel="1" x14ac:dyDescent="0.2">
      <c r="I122" s="138"/>
      <c r="J122" s="138"/>
      <c r="K122" s="138"/>
      <c r="L122" s="138"/>
      <c r="M122" s="138"/>
      <c r="N122" s="138"/>
      <c r="O122" s="138"/>
      <c r="P122" s="138"/>
      <c r="Q122" s="138"/>
      <c r="R122" s="138"/>
      <c r="S122" s="138"/>
      <c r="T122" s="138"/>
      <c r="U122" s="138"/>
      <c r="V122" s="138"/>
      <c r="W122" s="138"/>
      <c r="X122" s="138"/>
      <c r="Y122" s="138"/>
      <c r="Z122" s="138"/>
      <c r="AA122" s="138"/>
    </row>
    <row r="123" spans="9:27" outlineLevel="1" x14ac:dyDescent="0.2">
      <c r="I123" s="103" t="s">
        <v>355</v>
      </c>
      <c r="J123" s="92"/>
      <c r="K123" s="129"/>
      <c r="L123" s="96"/>
      <c r="M123" s="96"/>
      <c r="N123" s="124"/>
      <c r="O123" s="124"/>
      <c r="P123" s="124"/>
      <c r="Q123" s="124"/>
      <c r="R123" s="124"/>
      <c r="S123" s="124"/>
      <c r="T123" s="124"/>
      <c r="U123" s="124"/>
      <c r="V123" s="124"/>
      <c r="W123" s="124"/>
      <c r="X123" s="124"/>
      <c r="Y123" s="124"/>
      <c r="Z123" s="124"/>
      <c r="AA123" s="124"/>
    </row>
    <row r="124" spans="9:27" outlineLevel="1" x14ac:dyDescent="0.2">
      <c r="I124" s="96"/>
      <c r="J124" s="96"/>
      <c r="K124" s="97" t="s">
        <v>398</v>
      </c>
      <c r="L124" s="96"/>
      <c r="M124" s="96"/>
      <c r="N124" s="132">
        <f t="shared" ref="N124:AA124" si="9">AVERAGE(N111:N112)</f>
        <v>37.787008711846674</v>
      </c>
      <c r="O124" s="132">
        <f t="shared" si="9"/>
        <v>35.850673744419019</v>
      </c>
      <c r="P124" s="132">
        <f t="shared" si="9"/>
        <v>34.71799039963873</v>
      </c>
      <c r="Q124" s="132">
        <f t="shared" si="9"/>
        <v>33.914338776991372</v>
      </c>
      <c r="R124" s="132">
        <f t="shared" si="9"/>
        <v>33.290978149863612</v>
      </c>
      <c r="S124" s="132">
        <f t="shared" si="9"/>
        <v>32.781655432211075</v>
      </c>
      <c r="T124" s="132">
        <f t="shared" si="9"/>
        <v>32.351029210286399</v>
      </c>
      <c r="U124" s="132">
        <f t="shared" si="9"/>
        <v>31.97800380956372</v>
      </c>
      <c r="V124" s="132">
        <f t="shared" si="9"/>
        <v>29.933061825096601</v>
      </c>
      <c r="W124" s="132">
        <f t="shared" si="9"/>
        <v>31.354643182435954</v>
      </c>
      <c r="X124" s="132">
        <f t="shared" si="9"/>
        <v>31.088390301254435</v>
      </c>
      <c r="Y124" s="132">
        <f t="shared" si="9"/>
        <v>30.845320464783423</v>
      </c>
      <c r="Z124" s="132">
        <f t="shared" si="9"/>
        <v>30.621717890751952</v>
      </c>
      <c r="AA124" s="132">
        <f t="shared" si="9"/>
        <v>30.414694242858758</v>
      </c>
    </row>
    <row r="125" spans="9:27" outlineLevel="1" x14ac:dyDescent="0.2">
      <c r="I125" s="96"/>
      <c r="J125" s="96"/>
      <c r="K125" s="97" t="s">
        <v>399</v>
      </c>
      <c r="L125" s="96"/>
      <c r="M125" s="96"/>
      <c r="N125" s="132">
        <f t="shared" ref="N125:AA125" si="10">AVERAGE(N113:N114)</f>
        <v>6.0000101292578352</v>
      </c>
      <c r="O125" s="132">
        <f t="shared" si="10"/>
        <v>5.743509614413381</v>
      </c>
      <c r="P125" s="132">
        <f t="shared" si="10"/>
        <v>5.5934664318137042</v>
      </c>
      <c r="Q125" s="132">
        <f t="shared" si="10"/>
        <v>5.4870090995689269</v>
      </c>
      <c r="R125" s="132">
        <f t="shared" si="10"/>
        <v>5.4044343774874246</v>
      </c>
      <c r="S125" s="132">
        <f t="shared" si="10"/>
        <v>5.3369659169692509</v>
      </c>
      <c r="T125" s="132">
        <f t="shared" si="10"/>
        <v>5.2799221463989472</v>
      </c>
      <c r="U125" s="132">
        <f t="shared" si="10"/>
        <v>5.2305085847244728</v>
      </c>
      <c r="V125" s="132">
        <f t="shared" si="10"/>
        <v>4.8336915543165304</v>
      </c>
      <c r="W125" s="132">
        <f t="shared" si="10"/>
        <v>5.1479338626429696</v>
      </c>
      <c r="X125" s="132">
        <f t="shared" si="10"/>
        <v>5.1126641380081859</v>
      </c>
      <c r="Y125" s="132">
        <f t="shared" si="10"/>
        <v>5.0804654021247959</v>
      </c>
      <c r="Z125" s="132">
        <f t="shared" si="10"/>
        <v>5.0508454364037778</v>
      </c>
      <c r="AA125" s="132">
        <f t="shared" si="10"/>
        <v>5.0234216315544939</v>
      </c>
    </row>
    <row r="126" spans="9:27" outlineLevel="1" x14ac:dyDescent="0.2">
      <c r="I126" s="96"/>
      <c r="J126" s="105" t="s">
        <v>357</v>
      </c>
      <c r="K126" s="97"/>
      <c r="L126" s="96"/>
      <c r="M126" s="96"/>
      <c r="N126" s="96"/>
      <c r="O126" s="96"/>
      <c r="P126" s="96"/>
      <c r="Q126" s="96"/>
      <c r="R126" s="96"/>
      <c r="S126" s="96"/>
      <c r="T126" s="96"/>
      <c r="U126" s="96"/>
      <c r="V126" s="96"/>
      <c r="W126" s="96"/>
      <c r="X126" s="96"/>
      <c r="Y126" s="96"/>
      <c r="Z126" s="96"/>
      <c r="AA126" s="96"/>
    </row>
    <row r="127" spans="9:27" outlineLevel="1" x14ac:dyDescent="0.2">
      <c r="I127" s="96"/>
      <c r="J127" s="92"/>
      <c r="K127" s="93" t="s">
        <v>400</v>
      </c>
      <c r="L127" s="96"/>
      <c r="M127" s="96"/>
      <c r="N127" s="132">
        <f t="shared" ref="N127:AA127" si="11">(-2.851*LN(N4-2021)+37.429)*USD_to_CAD</f>
        <v>48.657700000000006</v>
      </c>
      <c r="O127" s="132">
        <f t="shared" si="11"/>
        <v>46.088688604690681</v>
      </c>
      <c r="P127" s="132">
        <f t="shared" si="11"/>
        <v>44.585913274509394</v>
      </c>
      <c r="Q127" s="132">
        <f t="shared" si="11"/>
        <v>43.519677209381356</v>
      </c>
      <c r="R127" s="132">
        <f t="shared" si="11"/>
        <v>42.692640265145499</v>
      </c>
      <c r="S127" s="132">
        <f t="shared" si="11"/>
        <v>42.01690187920007</v>
      </c>
      <c r="T127" s="132">
        <f t="shared" si="11"/>
        <v>41.445573214556298</v>
      </c>
      <c r="U127" s="132">
        <f t="shared" si="11"/>
        <v>40.950665814072032</v>
      </c>
      <c r="V127" s="132">
        <f t="shared" si="11"/>
        <v>40.514126549018776</v>
      </c>
      <c r="W127" s="132">
        <f t="shared" si="11"/>
        <v>40.123628869836168</v>
      </c>
      <c r="X127" s="132">
        <f t="shared" si="11"/>
        <v>39.7703807504274</v>
      </c>
      <c r="Y127" s="132">
        <f t="shared" si="11"/>
        <v>39.447890483890738</v>
      </c>
      <c r="Z127" s="132">
        <f t="shared" si="11"/>
        <v>39.151228196440314</v>
      </c>
      <c r="AA127" s="132">
        <f t="shared" si="11"/>
        <v>38.876561819246973</v>
      </c>
    </row>
    <row r="128" spans="9:27" outlineLevel="1" x14ac:dyDescent="0.2">
      <c r="I128" s="96"/>
      <c r="J128" s="98"/>
      <c r="K128" s="93" t="s">
        <v>401</v>
      </c>
      <c r="L128" s="96"/>
      <c r="M128" s="96"/>
      <c r="N128" s="132">
        <f t="shared" ref="N128:AA128" si="12">(-0.3841*LN(N4-2021)+5.9383)*USD_to_CAD</f>
        <v>7.7197899999999997</v>
      </c>
      <c r="O128" s="132">
        <f t="shared" si="12"/>
        <v>7.3736808183310032</v>
      </c>
      <c r="P128" s="132">
        <f t="shared" si="12"/>
        <v>7.1712199258993525</v>
      </c>
      <c r="Q128" s="132">
        <f t="shared" si="12"/>
        <v>7.0275716366620049</v>
      </c>
      <c r="R128" s="132">
        <f t="shared" si="12"/>
        <v>6.9161493671842802</v>
      </c>
      <c r="S128" s="132">
        <f t="shared" si="12"/>
        <v>6.825110744230356</v>
      </c>
      <c r="T128" s="132">
        <f t="shared" si="12"/>
        <v>6.7481386852722105</v>
      </c>
      <c r="U128" s="132">
        <f t="shared" si="12"/>
        <v>6.6814624549930075</v>
      </c>
      <c r="V128" s="132">
        <f t="shared" si="12"/>
        <v>6.6226498517987054</v>
      </c>
      <c r="W128" s="132">
        <f t="shared" si="12"/>
        <v>6.5700401855152828</v>
      </c>
      <c r="X128" s="132">
        <f t="shared" si="12"/>
        <v>6.5224489534335897</v>
      </c>
      <c r="Y128" s="132">
        <f t="shared" si="12"/>
        <v>6.4790015625613577</v>
      </c>
      <c r="Z128" s="132">
        <f t="shared" si="12"/>
        <v>6.439033837338731</v>
      </c>
      <c r="AA128" s="132">
        <f t="shared" si="12"/>
        <v>6.4020295036032122</v>
      </c>
    </row>
    <row r="129" spans="6:31" outlineLevel="1" x14ac:dyDescent="0.2">
      <c r="I129" s="96"/>
      <c r="J129" s="105" t="s">
        <v>358</v>
      </c>
      <c r="K129" s="97"/>
      <c r="L129" s="96"/>
      <c r="M129" s="96"/>
      <c r="N129" s="132"/>
      <c r="O129" s="132"/>
      <c r="P129" s="132"/>
      <c r="Q129" s="132"/>
      <c r="R129" s="132"/>
      <c r="S129" s="132"/>
      <c r="T129" s="132"/>
      <c r="U129" s="132"/>
      <c r="V129" s="132"/>
      <c r="W129" s="132"/>
      <c r="X129" s="132"/>
      <c r="Y129" s="132"/>
      <c r="Z129" s="132"/>
      <c r="AA129" s="132"/>
    </row>
    <row r="130" spans="6:31" outlineLevel="1" x14ac:dyDescent="0.2">
      <c r="I130" s="96"/>
      <c r="J130" s="92"/>
      <c r="K130" s="93" t="s">
        <v>400</v>
      </c>
      <c r="L130" s="96"/>
      <c r="M130" s="96"/>
      <c r="N130" s="132" cm="1">
        <f t="array" ref="N130:AA130">forecast_es.BOS.Structural.costs_CA*O118/N127</f>
        <v>28.000000000000004</v>
      </c>
      <c r="O130" s="132">
        <v>26.521666271347371</v>
      </c>
      <c r="P130" s="132">
        <v>25.6568964765343</v>
      </c>
      <c r="Q130" s="132">
        <v>25.043332542694738</v>
      </c>
      <c r="R130" s="132">
        <v>24.567415381821867</v>
      </c>
      <c r="S130" s="132">
        <v>24.178562747881667</v>
      </c>
      <c r="T130" s="132">
        <v>23.849792530423265</v>
      </c>
      <c r="U130" s="132">
        <v>23.564998814042113</v>
      </c>
      <c r="V130" s="132">
        <v>23.313792953068592</v>
      </c>
      <c r="W130" s="132">
        <v>23.089081653169231</v>
      </c>
      <c r="X130" s="132">
        <v>22.885805556201113</v>
      </c>
      <c r="Y130" s="132">
        <v>22.700229019229035</v>
      </c>
      <c r="Z130" s="132">
        <v>22.529515153826189</v>
      </c>
      <c r="AA130" s="132">
        <v>22.37145880177064</v>
      </c>
    </row>
    <row r="131" spans="6:31" outlineLevel="1" x14ac:dyDescent="0.2">
      <c r="I131" s="96"/>
      <c r="J131" s="98"/>
      <c r="K131" s="93" t="s">
        <v>401</v>
      </c>
      <c r="L131" s="96"/>
      <c r="M131" s="96"/>
      <c r="N131" s="132" cm="1">
        <f t="array" ref="N131:AA131">forecast_es.BOS.electrical.costs_CA*P118/N128</f>
        <v>13</v>
      </c>
      <c r="O131" s="132">
        <v>12.417157803295561</v>
      </c>
      <c r="P131" s="132">
        <v>12.07621697438552</v>
      </c>
      <c r="Q131" s="132">
        <v>11.834315606591121</v>
      </c>
      <c r="R131" s="132">
        <v>11.646682328586095</v>
      </c>
      <c r="S131" s="132">
        <v>11.49337477768108</v>
      </c>
      <c r="T131" s="132">
        <v>11.363755090298925</v>
      </c>
      <c r="U131" s="132">
        <v>11.251473409886682</v>
      </c>
      <c r="V131" s="132">
        <v>11.152433948771039</v>
      </c>
      <c r="W131" s="132">
        <v>11.063840131881655</v>
      </c>
      <c r="X131" s="132">
        <v>10.983697276044643</v>
      </c>
      <c r="Y131" s="132">
        <v>10.910532580976641</v>
      </c>
      <c r="Z131" s="132">
        <v>10.843227585906288</v>
      </c>
      <c r="AA131" s="132">
        <v>10.780912893594484</v>
      </c>
    </row>
    <row r="132" spans="6:31" outlineLevel="1" x14ac:dyDescent="0.2">
      <c r="I132" s="96"/>
      <c r="J132" s="105" t="s">
        <v>359</v>
      </c>
      <c r="K132" s="97"/>
      <c r="L132" s="96"/>
      <c r="M132" s="96"/>
      <c r="N132" s="132"/>
      <c r="O132" s="132"/>
      <c r="P132" s="132"/>
      <c r="Q132" s="132"/>
      <c r="R132" s="132"/>
      <c r="S132" s="132"/>
      <c r="T132" s="132"/>
      <c r="U132" s="132"/>
      <c r="V132" s="132"/>
      <c r="W132" s="132"/>
      <c r="X132" s="132"/>
      <c r="Y132" s="132"/>
      <c r="Z132" s="132"/>
      <c r="AA132" s="132"/>
    </row>
    <row r="133" spans="6:31" outlineLevel="1" x14ac:dyDescent="0.2">
      <c r="I133" s="96"/>
      <c r="J133" s="92"/>
      <c r="K133" s="93" t="s">
        <v>400</v>
      </c>
      <c r="L133" s="96"/>
      <c r="M133" s="96"/>
      <c r="N133" s="132" cm="1">
        <f t="array" ref="N133:AA133">forecast_es.BOS.Structural.costs_CA*O121/N127</f>
        <v>32</v>
      </c>
      <c r="O133" s="132">
        <v>30.310475738682708</v>
      </c>
      <c r="P133" s="132">
        <v>29.322167401753482</v>
      </c>
      <c r="Q133" s="132">
        <v>28.620951477365416</v>
      </c>
      <c r="R133" s="132">
        <v>28.077046150653562</v>
      </c>
      <c r="S133" s="132">
        <v>27.632643140436191</v>
      </c>
      <c r="T133" s="132">
        <v>27.256905749055161</v>
      </c>
      <c r="U133" s="132">
        <v>26.931427216048125</v>
      </c>
      <c r="V133" s="132">
        <v>26.644334803506961</v>
      </c>
      <c r="W133" s="132">
        <v>26.387521889336266</v>
      </c>
      <c r="X133" s="132">
        <v>26.155206349944134</v>
      </c>
      <c r="Y133" s="132">
        <v>25.943118879118895</v>
      </c>
      <c r="Z133" s="132">
        <v>25.748017318658505</v>
      </c>
      <c r="AA133" s="132">
        <v>25.567381487737872</v>
      </c>
    </row>
    <row r="134" spans="6:31" outlineLevel="1" x14ac:dyDescent="0.2">
      <c r="I134" s="96"/>
      <c r="J134" s="98"/>
      <c r="K134" s="93" t="s">
        <v>401</v>
      </c>
      <c r="L134" s="96"/>
      <c r="M134" s="96"/>
      <c r="N134" s="132" cm="1">
        <f t="array" ref="N134:AA134">forecast_es.BOS.electrical.costs_CA*P121/N128</f>
        <v>13.999999999999998</v>
      </c>
      <c r="O134" s="132">
        <v>13.372323788164451</v>
      </c>
      <c r="P134" s="132">
        <v>13.005156741645944</v>
      </c>
      <c r="Q134" s="132">
        <v>12.7446475763289</v>
      </c>
      <c r="R134" s="132">
        <v>12.542580969246563</v>
      </c>
      <c r="S134" s="132">
        <v>12.377480529810395</v>
      </c>
      <c r="T134" s="132">
        <v>12.237890097244996</v>
      </c>
      <c r="U134" s="132">
        <v>12.116971364493349</v>
      </c>
      <c r="V134" s="132">
        <v>12.010313483291887</v>
      </c>
      <c r="W134" s="132">
        <v>11.914904757411014</v>
      </c>
      <c r="X134" s="132">
        <v>11.828597066509616</v>
      </c>
      <c r="Y134" s="132">
        <v>11.749804317974842</v>
      </c>
      <c r="Z134" s="132">
        <v>11.677322015591386</v>
      </c>
      <c r="AA134" s="132">
        <v>11.610213885409445</v>
      </c>
    </row>
    <row r="135" spans="6:31" x14ac:dyDescent="0.2">
      <c r="F135"/>
      <c r="G135"/>
      <c r="K135"/>
      <c r="L135"/>
      <c r="M135"/>
      <c r="N135"/>
      <c r="O135"/>
      <c r="P135"/>
      <c r="Q135"/>
      <c r="R135"/>
      <c r="S135"/>
      <c r="T135"/>
      <c r="U135"/>
      <c r="V135"/>
      <c r="W135"/>
      <c r="X135"/>
      <c r="Y135"/>
      <c r="Z135"/>
      <c r="AA135"/>
    </row>
    <row r="136" spans="6:31" x14ac:dyDescent="0.2">
      <c r="F136"/>
      <c r="G136"/>
      <c r="H136" s="72" t="s">
        <v>402</v>
      </c>
      <c r="K136"/>
      <c r="L136"/>
      <c r="M136"/>
      <c r="N136"/>
      <c r="O136"/>
      <c r="P136"/>
      <c r="Q136"/>
      <c r="R136"/>
      <c r="S136"/>
      <c r="T136"/>
      <c r="U136"/>
      <c r="V136"/>
      <c r="W136"/>
      <c r="X136"/>
      <c r="Y136"/>
      <c r="Z136"/>
      <c r="AA136"/>
    </row>
    <row r="137" spans="6:31" outlineLevel="1" x14ac:dyDescent="0.2">
      <c r="F137"/>
      <c r="G137"/>
      <c r="I137" s="80" t="s">
        <v>310</v>
      </c>
      <c r="J137" s="81"/>
      <c r="K137" s="109"/>
      <c r="L137" s="109"/>
      <c r="M137" s="109"/>
      <c r="N137" s="109"/>
      <c r="O137" s="109"/>
      <c r="P137" s="109"/>
      <c r="Q137" s="109"/>
      <c r="R137" s="109"/>
      <c r="S137" s="109"/>
      <c r="T137" s="109"/>
      <c r="U137" s="109"/>
      <c r="V137" s="109"/>
      <c r="W137" s="109"/>
      <c r="X137" s="109"/>
      <c r="Y137" s="109"/>
      <c r="Z137" s="109"/>
      <c r="AA137" s="109"/>
    </row>
    <row r="138" spans="6:31" outlineLevel="1" x14ac:dyDescent="0.2">
      <c r="F138"/>
      <c r="G138"/>
      <c r="I138" s="81"/>
      <c r="J138" s="84" t="s">
        <v>324</v>
      </c>
      <c r="K138" s="109"/>
      <c r="L138" s="109"/>
      <c r="M138" s="109"/>
      <c r="N138" s="109"/>
      <c r="O138" s="109"/>
      <c r="P138" s="109"/>
      <c r="Q138" s="109"/>
      <c r="R138" s="109"/>
      <c r="S138" s="109"/>
      <c r="T138" s="109"/>
      <c r="U138" s="109"/>
      <c r="V138" s="109"/>
      <c r="W138" s="109"/>
      <c r="X138" s="109"/>
      <c r="Y138" s="109"/>
      <c r="Z138" s="109"/>
      <c r="AA138" s="109"/>
    </row>
    <row r="139" spans="6:31" outlineLevel="1" x14ac:dyDescent="0.2">
      <c r="I139" s="80"/>
      <c r="J139" s="80"/>
      <c r="K139" s="81" t="s">
        <v>403</v>
      </c>
      <c r="L139" s="81"/>
      <c r="M139" s="171">
        <f>MAX(226,270)</f>
        <v>270</v>
      </c>
      <c r="N139" s="81"/>
      <c r="O139" s="81"/>
      <c r="P139" s="81"/>
      <c r="Q139" s="81"/>
      <c r="R139" s="81"/>
      <c r="S139" s="81"/>
      <c r="T139" s="81"/>
      <c r="U139" s="81"/>
      <c r="V139" s="81"/>
      <c r="W139" s="81"/>
      <c r="X139" s="81"/>
      <c r="Y139" s="81"/>
      <c r="Z139" s="81"/>
      <c r="AA139" s="81"/>
      <c r="AE139" s="32" t="s">
        <v>404</v>
      </c>
    </row>
    <row r="140" spans="6:31" outlineLevel="1" x14ac:dyDescent="0.2">
      <c r="I140" s="81"/>
      <c r="J140" s="81"/>
      <c r="K140" s="81" t="s">
        <v>405</v>
      </c>
      <c r="L140" s="81"/>
      <c r="M140" s="171">
        <f>INDEX(US.CPI,MATCH(2022,CPI.years,0))/INDEX(US.CPI,MATCH(2020,CPI.years,0))*M139</f>
        <v>284.4580076912182</v>
      </c>
      <c r="N140" s="81"/>
      <c r="O140" s="81"/>
      <c r="P140" s="81"/>
      <c r="Q140" s="81"/>
      <c r="R140" s="81"/>
      <c r="S140" s="81"/>
      <c r="T140" s="81"/>
      <c r="U140" s="81"/>
      <c r="V140" s="81"/>
      <c r="W140" s="81"/>
      <c r="X140" s="81"/>
      <c r="Y140" s="81"/>
      <c r="Z140" s="81"/>
      <c r="AA140" s="81"/>
    </row>
    <row r="141" spans="6:31" outlineLevel="1" x14ac:dyDescent="0.2">
      <c r="I141" s="81"/>
      <c r="J141" s="81"/>
      <c r="K141" s="81" t="s">
        <v>406</v>
      </c>
      <c r="L141" s="81"/>
      <c r="M141" s="171">
        <f>M140-M40</f>
        <v>118.4229247352759</v>
      </c>
      <c r="N141" s="81"/>
      <c r="O141" s="81"/>
      <c r="P141" s="81"/>
      <c r="Q141" s="81"/>
      <c r="R141" s="81"/>
      <c r="S141" s="81"/>
      <c r="T141" s="81"/>
      <c r="U141" s="81"/>
      <c r="V141" s="81"/>
      <c r="W141" s="81"/>
      <c r="X141" s="81"/>
      <c r="Y141" s="81"/>
      <c r="Z141" s="81"/>
      <c r="AA141" s="81"/>
    </row>
    <row r="142" spans="6:31" outlineLevel="1" x14ac:dyDescent="0.2">
      <c r="I142" s="81"/>
      <c r="J142" s="81"/>
      <c r="K142" s="81" t="s">
        <v>407</v>
      </c>
      <c r="L142" s="81"/>
      <c r="M142" s="171">
        <f>4*1000*M141/30</f>
        <v>15789.723298036786</v>
      </c>
      <c r="N142" s="81"/>
      <c r="O142" s="81"/>
      <c r="P142" s="81"/>
      <c r="Q142" s="81"/>
      <c r="R142" s="81"/>
      <c r="S142" s="81"/>
      <c r="T142" s="81"/>
      <c r="U142" s="81"/>
      <c r="V142" s="81"/>
      <c r="W142" s="81"/>
      <c r="X142" s="81"/>
      <c r="Y142" s="81"/>
      <c r="Z142" s="81"/>
      <c r="AA142" s="81"/>
    </row>
    <row r="143" spans="6:31" outlineLevel="1" x14ac:dyDescent="0.2">
      <c r="I143" s="81"/>
      <c r="J143" s="81"/>
      <c r="K143" s="81" t="s">
        <v>407</v>
      </c>
      <c r="L143" s="81"/>
      <c r="M143" s="171">
        <f>M142*USD_to_CAD</f>
        <v>20526.640287447823</v>
      </c>
      <c r="N143" s="83"/>
      <c r="O143" s="83"/>
      <c r="P143" s="83"/>
      <c r="Q143" s="83"/>
      <c r="R143" s="83"/>
      <c r="S143" s="83"/>
      <c r="T143" s="83"/>
      <c r="U143" s="83"/>
      <c r="V143" s="83"/>
      <c r="W143" s="83"/>
      <c r="X143" s="83"/>
      <c r="Y143" s="83"/>
      <c r="Z143" s="83"/>
      <c r="AA143" s="83"/>
      <c r="AE143" s="32" t="s">
        <v>408</v>
      </c>
    </row>
    <row r="144" spans="6:31" outlineLevel="1" x14ac:dyDescent="0.2">
      <c r="I144" s="81"/>
      <c r="J144" s="81"/>
      <c r="K144" s="81" t="s">
        <v>409</v>
      </c>
      <c r="L144" s="81"/>
      <c r="M144" s="81"/>
      <c r="N144" s="85">
        <v>220</v>
      </c>
      <c r="O144" s="89">
        <f t="shared" ref="O144:Z144" si="13">N144+($AA$144-$N$144)/COUNT($N$4:$AA$4)</f>
        <v>236.42857142857142</v>
      </c>
      <c r="P144" s="89">
        <f t="shared" si="13"/>
        <v>252.85714285714283</v>
      </c>
      <c r="Q144" s="89">
        <f t="shared" si="13"/>
        <v>269.28571428571428</v>
      </c>
      <c r="R144" s="89">
        <f t="shared" si="13"/>
        <v>285.71428571428572</v>
      </c>
      <c r="S144" s="89">
        <f t="shared" si="13"/>
        <v>302.14285714285717</v>
      </c>
      <c r="T144" s="89">
        <f t="shared" si="13"/>
        <v>318.57142857142861</v>
      </c>
      <c r="U144" s="89">
        <f t="shared" si="13"/>
        <v>335.00000000000006</v>
      </c>
      <c r="V144" s="89">
        <f t="shared" si="13"/>
        <v>351.4285714285715</v>
      </c>
      <c r="W144" s="89">
        <f t="shared" si="13"/>
        <v>367.85714285714295</v>
      </c>
      <c r="X144" s="89">
        <f t="shared" si="13"/>
        <v>384.28571428571439</v>
      </c>
      <c r="Y144" s="89">
        <f t="shared" si="13"/>
        <v>400.71428571428584</v>
      </c>
      <c r="Z144" s="89">
        <f t="shared" si="13"/>
        <v>417.14285714285728</v>
      </c>
      <c r="AA144" s="85">
        <v>450</v>
      </c>
    </row>
    <row r="145" spans="8:27" outlineLevel="1" x14ac:dyDescent="0.2">
      <c r="I145" s="81"/>
      <c r="J145" s="81"/>
      <c r="K145" s="120" t="s">
        <v>384</v>
      </c>
      <c r="L145" s="81"/>
      <c r="M145" s="81"/>
      <c r="N145" s="117">
        <f>(4*1000/30)</f>
        <v>133.33333333333334</v>
      </c>
      <c r="O145" s="117">
        <f t="shared" ref="O145:AA145" si="14">(O144/$N$144)*$N$145</f>
        <v>143.29004329004329</v>
      </c>
      <c r="P145" s="117">
        <f t="shared" si="14"/>
        <v>153.24675324675326</v>
      </c>
      <c r="Q145" s="117">
        <f t="shared" si="14"/>
        <v>163.2034632034632</v>
      </c>
      <c r="R145" s="117">
        <f t="shared" si="14"/>
        <v>173.16017316017317</v>
      </c>
      <c r="S145" s="117">
        <f t="shared" si="14"/>
        <v>183.11688311688314</v>
      </c>
      <c r="T145" s="117">
        <f t="shared" si="14"/>
        <v>193.07359307359312</v>
      </c>
      <c r="U145" s="117">
        <f t="shared" si="14"/>
        <v>203.03030303030306</v>
      </c>
      <c r="V145" s="117">
        <f t="shared" si="14"/>
        <v>212.98701298701306</v>
      </c>
      <c r="W145" s="117">
        <f t="shared" si="14"/>
        <v>222.943722943723</v>
      </c>
      <c r="X145" s="117">
        <f t="shared" si="14"/>
        <v>232.90043290043297</v>
      </c>
      <c r="Y145" s="117">
        <f t="shared" si="14"/>
        <v>242.85714285714295</v>
      </c>
      <c r="Z145" s="117">
        <f t="shared" si="14"/>
        <v>252.81385281385292</v>
      </c>
      <c r="AA145" s="117">
        <f t="shared" si="14"/>
        <v>272.72727272727275</v>
      </c>
    </row>
    <row r="146" spans="8:27" outlineLevel="1" x14ac:dyDescent="0.2">
      <c r="I146" s="81"/>
      <c r="J146" s="81"/>
      <c r="K146" s="81" t="s">
        <v>39</v>
      </c>
      <c r="L146" s="81"/>
      <c r="M146" s="173"/>
      <c r="N146" s="89">
        <f>400*1000/N145</f>
        <v>3000</v>
      </c>
      <c r="O146" s="89">
        <f t="shared" ref="O146:AA146" si="15">400*1000/O145</f>
        <v>2791.5407854984896</v>
      </c>
      <c r="P146" s="89">
        <f t="shared" si="15"/>
        <v>2610.1694915254234</v>
      </c>
      <c r="Q146" s="89">
        <f t="shared" si="15"/>
        <v>2450.9283819628649</v>
      </c>
      <c r="R146" s="89">
        <f t="shared" si="15"/>
        <v>2310</v>
      </c>
      <c r="S146" s="89">
        <f t="shared" si="15"/>
        <v>2184.3971631205673</v>
      </c>
      <c r="T146" s="89">
        <f t="shared" si="15"/>
        <v>2071.7488789237664</v>
      </c>
      <c r="U146" s="89">
        <f t="shared" si="15"/>
        <v>1970.1492537313429</v>
      </c>
      <c r="V146" s="89">
        <f t="shared" si="15"/>
        <v>1878.0487804878042</v>
      </c>
      <c r="W146" s="89">
        <f t="shared" si="15"/>
        <v>1794.174757281553</v>
      </c>
      <c r="X146" s="89">
        <f t="shared" si="15"/>
        <v>1717.4721189591073</v>
      </c>
      <c r="Y146" s="89">
        <f t="shared" si="15"/>
        <v>1647.0588235294113</v>
      </c>
      <c r="Z146" s="89">
        <f t="shared" si="15"/>
        <v>1582.1917808219171</v>
      </c>
      <c r="AA146" s="89">
        <f t="shared" si="15"/>
        <v>1466.6666666666665</v>
      </c>
    </row>
    <row r="147" spans="8:27" x14ac:dyDescent="0.2">
      <c r="M147" s="169"/>
      <c r="N147" s="21"/>
      <c r="O147" s="21"/>
      <c r="P147" s="21"/>
      <c r="Q147" s="21"/>
      <c r="R147" s="21"/>
      <c r="S147" s="21"/>
      <c r="T147" s="21"/>
      <c r="U147" s="21"/>
      <c r="V147" s="21"/>
      <c r="W147" s="21"/>
      <c r="X147" s="21"/>
      <c r="Y147" s="21"/>
      <c r="Z147" s="21"/>
      <c r="AA147" s="21"/>
    </row>
    <row r="148" spans="8:27" x14ac:dyDescent="0.2">
      <c r="H148" s="72" t="s">
        <v>410</v>
      </c>
      <c r="M148" s="169"/>
    </row>
    <row r="149" spans="8:27" outlineLevel="1" x14ac:dyDescent="0.2">
      <c r="I149" s="80" t="s">
        <v>310</v>
      </c>
      <c r="J149" s="81"/>
      <c r="K149" s="81"/>
      <c r="L149" s="81"/>
      <c r="M149" s="81"/>
      <c r="N149" s="81"/>
      <c r="O149" s="81"/>
      <c r="P149" s="81"/>
      <c r="Q149" s="81"/>
      <c r="R149" s="81"/>
      <c r="S149" s="81"/>
      <c r="T149" s="81"/>
      <c r="U149" s="81"/>
      <c r="V149" s="81"/>
      <c r="W149" s="81"/>
      <c r="X149" s="81"/>
      <c r="Y149" s="81"/>
      <c r="Z149" s="81"/>
      <c r="AA149" s="81"/>
    </row>
    <row r="150" spans="8:27" outlineLevel="1" x14ac:dyDescent="0.2">
      <c r="I150" s="81"/>
      <c r="J150" s="84" t="s">
        <v>321</v>
      </c>
      <c r="K150" s="81"/>
      <c r="L150" s="81"/>
      <c r="M150" s="81"/>
      <c r="N150" s="81"/>
      <c r="O150" s="81"/>
      <c r="P150" s="81"/>
      <c r="Q150" s="81"/>
      <c r="R150" s="81"/>
      <c r="S150" s="81"/>
      <c r="T150" s="81"/>
      <c r="U150" s="81"/>
      <c r="V150" s="81"/>
      <c r="W150" s="81"/>
      <c r="X150" s="81"/>
      <c r="Y150" s="81"/>
      <c r="Z150" s="81"/>
      <c r="AA150" s="81"/>
    </row>
    <row r="151" spans="8:27" outlineLevel="1" x14ac:dyDescent="0.2">
      <c r="I151" s="81"/>
      <c r="J151" s="81"/>
      <c r="K151" s="81" t="s">
        <v>411</v>
      </c>
      <c r="L151" s="81"/>
      <c r="M151" s="81"/>
      <c r="N151" s="171">
        <v>4.59</v>
      </c>
      <c r="O151" s="81"/>
      <c r="P151" s="81"/>
      <c r="Q151" s="81"/>
      <c r="R151" s="81"/>
      <c r="S151" s="81"/>
      <c r="T151" s="81"/>
      <c r="U151" s="81"/>
      <c r="V151" s="171">
        <v>3.89</v>
      </c>
      <c r="W151" s="81"/>
      <c r="X151" s="81"/>
      <c r="Y151" s="81"/>
      <c r="Z151" s="81"/>
      <c r="AA151" s="81"/>
    </row>
    <row r="152" spans="8:27" outlineLevel="1" x14ac:dyDescent="0.2">
      <c r="I152" s="81"/>
      <c r="J152" s="81"/>
      <c r="K152" s="81"/>
      <c r="L152" s="81"/>
      <c r="M152" s="81"/>
      <c r="N152" s="81"/>
      <c r="O152" s="81"/>
      <c r="P152" s="81"/>
      <c r="Q152" s="81"/>
      <c r="R152" s="81"/>
      <c r="S152" s="81"/>
      <c r="T152" s="81"/>
      <c r="U152" s="81"/>
      <c r="V152" s="81"/>
      <c r="W152" s="81"/>
      <c r="X152" s="81"/>
      <c r="Y152" s="81"/>
      <c r="Z152" s="81"/>
      <c r="AA152" s="81"/>
    </row>
    <row r="153" spans="8:27" outlineLevel="1" x14ac:dyDescent="0.2">
      <c r="I153" s="81"/>
      <c r="J153" s="84" t="s">
        <v>328</v>
      </c>
      <c r="K153" s="81"/>
      <c r="L153" s="81"/>
      <c r="M153" s="81"/>
      <c r="N153" s="81"/>
      <c r="O153" s="81"/>
      <c r="P153" s="81"/>
      <c r="Q153" s="81"/>
      <c r="R153" s="81"/>
      <c r="S153" s="81"/>
      <c r="T153" s="81"/>
      <c r="U153" s="81"/>
      <c r="V153" s="81"/>
      <c r="W153" s="81"/>
      <c r="X153" s="81"/>
      <c r="Y153" s="81"/>
      <c r="Z153" s="81"/>
      <c r="AA153" s="81"/>
    </row>
    <row r="154" spans="8:27" outlineLevel="1" x14ac:dyDescent="0.2">
      <c r="I154" s="81"/>
      <c r="J154" s="81"/>
      <c r="K154" s="81" t="s">
        <v>412</v>
      </c>
      <c r="L154" s="171">
        <v>10</v>
      </c>
      <c r="M154" s="171"/>
      <c r="N154" s="171">
        <f>INDEX(US.CPI,MATCH(2022,CPI.years,0))/INDEX(US.CPI,MATCH(2018,CPI.years,0))*L154</f>
        <v>10.858711909379617</v>
      </c>
      <c r="O154" s="81"/>
      <c r="P154" s="81"/>
      <c r="Q154" s="81"/>
      <c r="R154" s="177"/>
      <c r="S154" s="177"/>
      <c r="T154" s="177"/>
      <c r="U154" s="177"/>
      <c r="V154" s="177"/>
      <c r="W154" s="177"/>
      <c r="X154" s="177"/>
      <c r="Y154" s="177"/>
      <c r="Z154" s="177"/>
      <c r="AA154" s="177"/>
    </row>
    <row r="155" spans="8:27" outlineLevel="1" x14ac:dyDescent="0.2">
      <c r="I155" s="81"/>
      <c r="J155" s="81"/>
      <c r="K155" s="81" t="s">
        <v>413</v>
      </c>
      <c r="L155" s="171">
        <v>0.51249999999999996</v>
      </c>
      <c r="M155" s="171"/>
      <c r="N155" s="171">
        <f>INDEX(US.CPI,MATCH(2022,CPI.years,0))/INDEX(US.CPI,MATCH(2018,CPI.years,0))*L155</f>
        <v>0.55650898535570537</v>
      </c>
      <c r="O155" s="81"/>
      <c r="P155" s="81"/>
      <c r="Q155" s="81"/>
      <c r="R155" s="81"/>
      <c r="S155" s="81"/>
      <c r="T155" s="81"/>
      <c r="U155" s="81"/>
      <c r="V155" s="81"/>
      <c r="W155" s="81"/>
      <c r="X155" s="81"/>
      <c r="Y155" s="81"/>
      <c r="Z155" s="81"/>
      <c r="AA155" s="81"/>
    </row>
    <row r="156" spans="8:27" outlineLevel="1" x14ac:dyDescent="0.2">
      <c r="I156" s="81"/>
      <c r="J156" s="81"/>
      <c r="K156" s="81"/>
      <c r="L156" s="81"/>
      <c r="M156" s="81"/>
      <c r="N156" s="81"/>
      <c r="O156" s="81"/>
      <c r="P156" s="81"/>
      <c r="Q156" s="81"/>
      <c r="R156" s="81"/>
      <c r="S156" s="81"/>
      <c r="T156" s="81"/>
      <c r="U156" s="81"/>
      <c r="V156" s="81"/>
      <c r="W156" s="81"/>
      <c r="X156" s="81"/>
      <c r="Y156" s="81"/>
      <c r="Z156" s="81"/>
      <c r="AA156" s="81"/>
    </row>
    <row r="157" spans="8:27" outlineLevel="1" x14ac:dyDescent="0.2">
      <c r="I157" s="81"/>
      <c r="J157" s="84" t="s">
        <v>336</v>
      </c>
      <c r="K157" s="81"/>
      <c r="L157" s="85"/>
      <c r="M157" s="85"/>
      <c r="N157" s="81"/>
      <c r="O157" s="81"/>
      <c r="P157" s="81"/>
      <c r="Q157" s="81"/>
      <c r="R157" s="81"/>
      <c r="S157" s="81"/>
      <c r="T157" s="81"/>
      <c r="U157" s="81"/>
      <c r="V157" s="81"/>
      <c r="W157" s="81"/>
      <c r="X157" s="81"/>
      <c r="Y157" s="81"/>
      <c r="Z157" s="81"/>
      <c r="AA157" s="81"/>
    </row>
    <row r="158" spans="8:27" outlineLevel="1" x14ac:dyDescent="0.2">
      <c r="I158" s="81"/>
      <c r="J158" s="81"/>
      <c r="K158" s="81" t="s">
        <v>337</v>
      </c>
      <c r="L158" s="85" t="s">
        <v>338</v>
      </c>
      <c r="M158" s="85" t="s">
        <v>339</v>
      </c>
      <c r="N158" s="81"/>
      <c r="O158" s="81"/>
      <c r="P158" s="81"/>
      <c r="Q158" s="81"/>
      <c r="R158" s="81"/>
      <c r="S158" s="81"/>
      <c r="T158" s="81"/>
      <c r="U158" s="81"/>
      <c r="V158" s="81"/>
      <c r="W158" s="81"/>
      <c r="X158" s="81"/>
      <c r="Y158" s="81"/>
      <c r="Z158" s="81"/>
      <c r="AA158" s="81"/>
    </row>
    <row r="159" spans="8:27" outlineLevel="1" x14ac:dyDescent="0.2">
      <c r="I159" s="81"/>
      <c r="J159" s="81"/>
      <c r="K159" s="81" t="s">
        <v>340</v>
      </c>
      <c r="L159" s="85">
        <v>391.6</v>
      </c>
      <c r="M159" s="85">
        <v>385.4</v>
      </c>
      <c r="N159" s="81"/>
      <c r="O159" s="81"/>
      <c r="P159" s="81"/>
      <c r="Q159" s="81"/>
      <c r="R159" s="81"/>
      <c r="S159" s="81"/>
      <c r="T159" s="81"/>
      <c r="U159" s="81"/>
      <c r="V159" s="81"/>
      <c r="W159" s="81"/>
      <c r="X159" s="81"/>
      <c r="Y159" s="81"/>
      <c r="Z159" s="81"/>
      <c r="AA159" s="81"/>
    </row>
    <row r="160" spans="8:27" outlineLevel="1" x14ac:dyDescent="0.2">
      <c r="I160" s="81"/>
      <c r="J160" s="81"/>
      <c r="K160" s="81" t="s">
        <v>341</v>
      </c>
      <c r="L160" s="85">
        <v>97</v>
      </c>
      <c r="M160" s="85">
        <v>192.7</v>
      </c>
      <c r="N160" s="81"/>
      <c r="O160" s="81"/>
      <c r="P160" s="81"/>
      <c r="Q160" s="81"/>
      <c r="R160" s="81"/>
      <c r="S160" s="81"/>
      <c r="T160" s="81"/>
      <c r="U160" s="81"/>
      <c r="V160" s="81"/>
      <c r="W160" s="81"/>
      <c r="X160" s="81"/>
      <c r="Y160" s="81"/>
      <c r="Z160" s="81"/>
      <c r="AA160" s="81"/>
    </row>
    <row r="161" spans="9:27" outlineLevel="1" x14ac:dyDescent="0.2">
      <c r="I161" s="81"/>
      <c r="J161" s="81"/>
      <c r="K161" s="81" t="s">
        <v>414</v>
      </c>
      <c r="L161" s="175">
        <v>485280</v>
      </c>
      <c r="M161" s="175">
        <v>485280</v>
      </c>
      <c r="N161" s="81"/>
      <c r="O161" s="81"/>
      <c r="P161" s="81"/>
      <c r="Q161" s="81"/>
      <c r="R161" s="81"/>
      <c r="S161" s="81"/>
      <c r="T161" s="81"/>
      <c r="U161" s="81"/>
      <c r="V161" s="81"/>
      <c r="W161" s="81"/>
      <c r="X161" s="81"/>
      <c r="Y161" s="81"/>
      <c r="Z161" s="81"/>
      <c r="AA161" s="81"/>
    </row>
    <row r="162" spans="9:27" outlineLevel="1" x14ac:dyDescent="0.2">
      <c r="I162" s="81"/>
      <c r="J162" s="81"/>
      <c r="K162" s="81" t="s">
        <v>415</v>
      </c>
      <c r="L162" s="171">
        <f>L161*1.17/L160/1000</f>
        <v>5.8533773195876284</v>
      </c>
      <c r="M162" s="171">
        <f>M161*1.17/M160/1000</f>
        <v>2.9464327970939284</v>
      </c>
      <c r="N162" s="81"/>
      <c r="O162" s="81"/>
      <c r="P162" s="81"/>
      <c r="Q162" s="81"/>
      <c r="R162" s="81"/>
      <c r="S162" s="81"/>
      <c r="T162" s="81"/>
      <c r="U162" s="81"/>
      <c r="V162" s="81"/>
      <c r="W162" s="81"/>
      <c r="X162" s="81"/>
      <c r="Y162" s="81"/>
      <c r="Z162" s="81"/>
      <c r="AA162" s="81"/>
    </row>
    <row r="163" spans="9:27" outlineLevel="1" x14ac:dyDescent="0.2">
      <c r="I163" s="81"/>
      <c r="J163" s="81"/>
      <c r="K163" s="81" t="s">
        <v>416</v>
      </c>
      <c r="L163" s="81"/>
      <c r="M163" s="81"/>
      <c r="N163" s="81"/>
      <c r="O163" s="81"/>
      <c r="P163" s="81"/>
      <c r="Q163" s="81"/>
      <c r="R163" s="81"/>
      <c r="S163" s="81"/>
      <c r="T163" s="81"/>
      <c r="U163" s="81"/>
      <c r="V163" s="81"/>
      <c r="W163" s="81"/>
      <c r="X163" s="81"/>
      <c r="Y163" s="81"/>
      <c r="Z163" s="81"/>
      <c r="AA163" s="81"/>
    </row>
    <row r="164" spans="9:27" outlineLevel="1" x14ac:dyDescent="0.2">
      <c r="I164" s="81"/>
      <c r="J164" s="81"/>
      <c r="K164" s="81"/>
      <c r="L164" s="81"/>
      <c r="M164" s="81"/>
      <c r="N164" s="81"/>
      <c r="O164" s="81"/>
      <c r="P164" s="81"/>
      <c r="Q164" s="81"/>
      <c r="R164" s="81"/>
      <c r="S164" s="81"/>
      <c r="T164" s="81"/>
      <c r="U164" s="81"/>
      <c r="V164" s="81"/>
      <c r="W164" s="81"/>
      <c r="X164" s="81"/>
      <c r="Y164" s="81"/>
      <c r="Z164" s="81"/>
      <c r="AA164" s="81"/>
    </row>
    <row r="165" spans="9:27" outlineLevel="1" x14ac:dyDescent="0.2">
      <c r="I165" s="81"/>
      <c r="J165" s="84" t="s">
        <v>331</v>
      </c>
      <c r="K165" s="81"/>
      <c r="L165" s="81"/>
      <c r="M165" s="81"/>
      <c r="N165" s="81"/>
      <c r="O165" s="81"/>
      <c r="P165" s="81"/>
      <c r="Q165" s="81"/>
      <c r="R165" s="81"/>
      <c r="S165" s="81"/>
      <c r="T165" s="81"/>
      <c r="U165" s="81"/>
      <c r="V165" s="81"/>
      <c r="W165" s="81"/>
      <c r="X165" s="81"/>
      <c r="Y165" s="81"/>
      <c r="Z165" s="81"/>
      <c r="AA165" s="81"/>
    </row>
    <row r="166" spans="9:27" outlineLevel="1" x14ac:dyDescent="0.2">
      <c r="I166" s="81"/>
      <c r="J166" s="81"/>
      <c r="K166" s="81" t="s">
        <v>332</v>
      </c>
      <c r="L166" s="175">
        <v>43.180861120239115</v>
      </c>
      <c r="M166" s="175">
        <v>36.88642936702464</v>
      </c>
      <c r="N166" s="175">
        <v>33.947325867973042</v>
      </c>
      <c r="O166" s="175">
        <v>31.008222368921437</v>
      </c>
      <c r="P166" s="175">
        <v>28.069118869869836</v>
      </c>
      <c r="Q166" s="175">
        <v>25.130015370818239</v>
      </c>
      <c r="R166" s="175">
        <v>23.503955552706472</v>
      </c>
      <c r="S166" s="175">
        <v>21.877895734594702</v>
      </c>
      <c r="T166" s="175">
        <v>20.251835916482936</v>
      </c>
      <c r="U166" s="175">
        <v>18.625776098371169</v>
      </c>
      <c r="V166" s="175">
        <v>16.999716280259396</v>
      </c>
      <c r="W166" s="175">
        <v>16.787219826756154</v>
      </c>
      <c r="X166" s="175">
        <v>16.574723373252908</v>
      </c>
      <c r="Y166" s="175">
        <v>16.362226919749666</v>
      </c>
      <c r="Z166" s="175">
        <v>16.149730466246424</v>
      </c>
      <c r="AA166" s="175">
        <v>15.937234012743183</v>
      </c>
    </row>
    <row r="167" spans="9:27" outlineLevel="1" x14ac:dyDescent="0.2">
      <c r="I167" s="81"/>
      <c r="J167" s="81"/>
      <c r="K167" s="81" t="s">
        <v>333</v>
      </c>
      <c r="L167" s="175">
        <v>43.180861120239115</v>
      </c>
      <c r="M167" s="175">
        <v>36.88642936702464</v>
      </c>
      <c r="N167" s="175">
        <v>34.270370546668282</v>
      </c>
      <c r="O167" s="175">
        <v>31.392705844276293</v>
      </c>
      <c r="P167" s="175">
        <v>29.169055846973386</v>
      </c>
      <c r="Q167" s="175">
        <v>27.599420554759575</v>
      </c>
      <c r="R167" s="175">
        <v>26.422194085599212</v>
      </c>
      <c r="S167" s="175">
        <v>25.375770557456669</v>
      </c>
      <c r="T167" s="175">
        <v>24.198544088296309</v>
      </c>
      <c r="U167" s="175">
        <v>23.282923501171584</v>
      </c>
      <c r="V167" s="175">
        <v>22.36730291404686</v>
      </c>
      <c r="W167" s="175">
        <v>22.098829877607802</v>
      </c>
      <c r="X167" s="175">
        <v>21.819238591182177</v>
      </c>
      <c r="Y167" s="175">
        <v>21.539647304756627</v>
      </c>
      <c r="Z167" s="175">
        <v>21.260056018331074</v>
      </c>
      <c r="AA167" s="175">
        <v>20.98046473190545</v>
      </c>
    </row>
    <row r="168" spans="9:27" outlineLevel="1" x14ac:dyDescent="0.2">
      <c r="I168" s="81"/>
      <c r="J168" s="81"/>
      <c r="K168" s="81" t="s">
        <v>334</v>
      </c>
      <c r="L168" s="175">
        <v>43.180861120239115</v>
      </c>
      <c r="M168" s="175">
        <v>36.88642936702464</v>
      </c>
      <c r="N168" s="175">
        <v>35.866432166694956</v>
      </c>
      <c r="O168" s="175">
        <v>34.846434966365273</v>
      </c>
      <c r="P168" s="175">
        <v>33.826437766035582</v>
      </c>
      <c r="Q168" s="175">
        <v>32.806440565705891</v>
      </c>
      <c r="R168" s="175">
        <v>32.11378126675875</v>
      </c>
      <c r="S168" s="175">
        <v>31.421121967811604</v>
      </c>
      <c r="T168" s="175">
        <v>30.728462668864463</v>
      </c>
      <c r="U168" s="175">
        <v>30.035803369917318</v>
      </c>
      <c r="V168" s="175">
        <v>29.343144070970183</v>
      </c>
      <c r="W168" s="175">
        <v>29.343144070970183</v>
      </c>
      <c r="X168" s="175">
        <v>29.343144070970183</v>
      </c>
      <c r="Y168" s="175">
        <v>29.343144070970183</v>
      </c>
      <c r="Z168" s="175">
        <v>29.343144070970183</v>
      </c>
      <c r="AA168" s="175">
        <v>29.343144070970183</v>
      </c>
    </row>
    <row r="169" spans="9:27" outlineLevel="1" x14ac:dyDescent="0.2">
      <c r="I169" s="81"/>
      <c r="J169" s="81"/>
      <c r="K169" s="81"/>
      <c r="L169" s="81"/>
      <c r="M169" s="81"/>
      <c r="N169" s="81"/>
      <c r="O169" s="81"/>
      <c r="P169" s="81"/>
      <c r="Q169" s="81"/>
      <c r="R169" s="81"/>
      <c r="S169" s="81"/>
      <c r="T169" s="81"/>
      <c r="U169" s="81"/>
      <c r="V169" s="81"/>
      <c r="W169" s="81"/>
      <c r="X169" s="81"/>
      <c r="Y169" s="81"/>
      <c r="Z169" s="81"/>
      <c r="AA169" s="81"/>
    </row>
    <row r="170" spans="9:27" outlineLevel="1" x14ac:dyDescent="0.2">
      <c r="I170" s="81"/>
      <c r="J170" s="81"/>
      <c r="K170" s="81" t="s">
        <v>417</v>
      </c>
      <c r="L170" s="81"/>
      <c r="M170" s="81"/>
      <c r="N170" s="174">
        <f>N167*$L$162/$N$167</f>
        <v>5.8533773195876284</v>
      </c>
      <c r="O170" s="174">
        <f t="shared" ref="O170:AA170" si="16">O167*$L$162/$N$167</f>
        <v>5.3618723538207291</v>
      </c>
      <c r="P170" s="174">
        <f t="shared" si="16"/>
        <v>4.9820730620917608</v>
      </c>
      <c r="Q170" s="174">
        <f t="shared" si="16"/>
        <v>4.7139794444007244</v>
      </c>
      <c r="R170" s="174">
        <f t="shared" si="16"/>
        <v>4.512909231132447</v>
      </c>
      <c r="S170" s="174">
        <f t="shared" si="16"/>
        <v>4.3341801526717552</v>
      </c>
      <c r="T170" s="174">
        <f t="shared" si="16"/>
        <v>4.1331099394034787</v>
      </c>
      <c r="U170" s="174">
        <f t="shared" si="16"/>
        <v>3.9767219957503745</v>
      </c>
      <c r="V170" s="174">
        <f t="shared" si="16"/>
        <v>3.8203340520972695</v>
      </c>
      <c r="W170" s="174">
        <f t="shared" si="16"/>
        <v>3.7744788729047003</v>
      </c>
      <c r="X170" s="174">
        <f t="shared" si="16"/>
        <v>3.7267246972534784</v>
      </c>
      <c r="Y170" s="174">
        <f t="shared" si="16"/>
        <v>3.6789705216022686</v>
      </c>
      <c r="Z170" s="174">
        <f t="shared" si="16"/>
        <v>3.6312163459510582</v>
      </c>
      <c r="AA170" s="174">
        <f t="shared" si="16"/>
        <v>3.5834621702998355</v>
      </c>
    </row>
    <row r="171" spans="9:27" outlineLevel="1" x14ac:dyDescent="0.2">
      <c r="I171" s="81"/>
      <c r="J171" s="81"/>
      <c r="K171" s="81"/>
      <c r="L171" s="81"/>
      <c r="M171" s="81"/>
      <c r="N171" s="81"/>
      <c r="O171" s="81"/>
      <c r="P171" s="81"/>
      <c r="Q171" s="81"/>
      <c r="R171" s="81"/>
      <c r="S171" s="81"/>
      <c r="T171" s="81"/>
      <c r="U171" s="81"/>
      <c r="V171" s="81"/>
      <c r="W171" s="81"/>
      <c r="X171" s="81"/>
      <c r="Y171" s="81"/>
      <c r="Z171" s="81"/>
      <c r="AA171" s="81"/>
    </row>
    <row r="172" spans="9:27" outlineLevel="1" x14ac:dyDescent="0.2">
      <c r="I172" s="80" t="s">
        <v>345</v>
      </c>
      <c r="J172" s="81"/>
      <c r="K172" s="81"/>
      <c r="L172" s="81"/>
      <c r="M172" s="81"/>
      <c r="N172" s="81"/>
      <c r="O172" s="81"/>
      <c r="P172" s="81"/>
      <c r="Q172" s="81"/>
      <c r="R172" s="81"/>
      <c r="S172" s="81"/>
      <c r="T172" s="81"/>
      <c r="U172" s="81"/>
      <c r="V172" s="81"/>
      <c r="W172" s="81"/>
      <c r="X172" s="81"/>
      <c r="Y172" s="81"/>
      <c r="Z172" s="81"/>
      <c r="AA172" s="81"/>
    </row>
    <row r="173" spans="9:27" outlineLevel="1" x14ac:dyDescent="0.2">
      <c r="I173" s="81"/>
      <c r="J173" s="81"/>
      <c r="K173" s="81" t="s">
        <v>347</v>
      </c>
      <c r="L173" s="81"/>
      <c r="M173" s="81"/>
      <c r="N173" s="171">
        <f>N151</f>
        <v>4.59</v>
      </c>
      <c r="O173" s="81"/>
      <c r="P173" s="81"/>
      <c r="Q173" s="81"/>
      <c r="R173" s="81"/>
      <c r="S173" s="81"/>
      <c r="T173" s="81"/>
      <c r="U173" s="81"/>
      <c r="V173" s="171">
        <f>V151</f>
        <v>3.89</v>
      </c>
      <c r="W173" s="81"/>
      <c r="X173" s="81"/>
      <c r="Y173" s="81"/>
      <c r="Z173" s="81"/>
      <c r="AA173" s="81"/>
    </row>
    <row r="174" spans="9:27" outlineLevel="1" x14ac:dyDescent="0.2">
      <c r="I174" s="81"/>
      <c r="J174" s="81"/>
      <c r="K174" s="81" t="s">
        <v>418</v>
      </c>
      <c r="L174" s="81"/>
      <c r="M174" s="81"/>
      <c r="N174" s="171">
        <f>N154</f>
        <v>10.858711909379617</v>
      </c>
      <c r="O174" s="81"/>
      <c r="P174" s="81"/>
      <c r="Q174" s="81"/>
      <c r="R174" s="81"/>
      <c r="S174" s="81"/>
      <c r="T174" s="81"/>
      <c r="U174" s="81"/>
      <c r="V174" s="81"/>
      <c r="W174" s="81"/>
      <c r="X174" s="81"/>
      <c r="Y174" s="81"/>
      <c r="Z174" s="81"/>
      <c r="AA174" s="81"/>
    </row>
    <row r="175" spans="9:27" outlineLevel="1" x14ac:dyDescent="0.2">
      <c r="I175" s="81"/>
      <c r="J175" s="81"/>
      <c r="K175" s="81" t="s">
        <v>419</v>
      </c>
      <c r="L175" s="81"/>
      <c r="M175" s="81"/>
      <c r="N175" s="174">
        <f>N170</f>
        <v>5.8533773195876284</v>
      </c>
      <c r="O175" s="174">
        <f t="shared" ref="O175:AA175" si="17">O170</f>
        <v>5.3618723538207291</v>
      </c>
      <c r="P175" s="174">
        <f t="shared" si="17"/>
        <v>4.9820730620917608</v>
      </c>
      <c r="Q175" s="174">
        <f t="shared" si="17"/>
        <v>4.7139794444007244</v>
      </c>
      <c r="R175" s="174">
        <f t="shared" si="17"/>
        <v>4.512909231132447</v>
      </c>
      <c r="S175" s="174">
        <f t="shared" si="17"/>
        <v>4.3341801526717552</v>
      </c>
      <c r="T175" s="174">
        <f t="shared" si="17"/>
        <v>4.1331099394034787</v>
      </c>
      <c r="U175" s="174">
        <f t="shared" si="17"/>
        <v>3.9767219957503745</v>
      </c>
      <c r="V175" s="174">
        <f t="shared" si="17"/>
        <v>3.8203340520972695</v>
      </c>
      <c r="W175" s="174">
        <f t="shared" si="17"/>
        <v>3.7744788729047003</v>
      </c>
      <c r="X175" s="174">
        <f t="shared" si="17"/>
        <v>3.7267246972534784</v>
      </c>
      <c r="Y175" s="174">
        <f t="shared" si="17"/>
        <v>3.6789705216022686</v>
      </c>
      <c r="Z175" s="174">
        <f t="shared" si="17"/>
        <v>3.6312163459510582</v>
      </c>
      <c r="AA175" s="174">
        <f t="shared" si="17"/>
        <v>3.5834621702998355</v>
      </c>
    </row>
    <row r="176" spans="9:27" outlineLevel="1" x14ac:dyDescent="0.2">
      <c r="I176" s="81"/>
      <c r="J176" s="81"/>
      <c r="K176" s="81" t="s">
        <v>420</v>
      </c>
      <c r="L176" s="81"/>
      <c r="M176" s="81"/>
      <c r="N176" s="81"/>
      <c r="O176" s="81"/>
      <c r="P176" s="81"/>
      <c r="Q176" s="81"/>
      <c r="R176" s="81"/>
      <c r="S176" s="81"/>
      <c r="T176" s="81"/>
      <c r="U176" s="81"/>
      <c r="V176" s="81"/>
      <c r="W176" s="81"/>
      <c r="X176" s="81"/>
      <c r="Y176" s="81"/>
      <c r="Z176" s="81"/>
      <c r="AA176" s="81"/>
    </row>
    <row r="177" spans="9:27" outlineLevel="1" x14ac:dyDescent="0.2">
      <c r="I177" s="106" t="s">
        <v>350</v>
      </c>
      <c r="J177" s="107"/>
      <c r="K177" s="82"/>
      <c r="L177" s="83"/>
      <c r="M177" s="86"/>
      <c r="N177" s="111"/>
      <c r="O177" s="81"/>
      <c r="P177" s="81"/>
      <c r="Q177" s="81"/>
      <c r="R177" s="81"/>
      <c r="S177" s="81"/>
      <c r="T177" s="81"/>
      <c r="U177" s="81"/>
      <c r="V177" s="81"/>
      <c r="W177" s="81"/>
      <c r="X177" s="81"/>
      <c r="Y177" s="81"/>
      <c r="Z177" s="81"/>
      <c r="AA177" s="81"/>
    </row>
    <row r="178" spans="9:27" outlineLevel="1" x14ac:dyDescent="0.2">
      <c r="I178" s="106"/>
      <c r="J178" s="107" t="s">
        <v>351</v>
      </c>
      <c r="K178" s="82"/>
      <c r="L178" s="83"/>
      <c r="M178" s="86"/>
      <c r="N178" s="111"/>
      <c r="O178" s="81"/>
      <c r="P178" s="81"/>
      <c r="Q178" s="81"/>
      <c r="R178" s="81"/>
      <c r="S178" s="81"/>
      <c r="T178" s="81"/>
      <c r="U178" s="81"/>
      <c r="V178" s="81"/>
      <c r="W178" s="81"/>
      <c r="X178" s="81"/>
      <c r="Y178" s="81"/>
      <c r="Z178" s="81"/>
      <c r="AA178" s="81"/>
    </row>
    <row r="179" spans="9:27" outlineLevel="1" x14ac:dyDescent="0.2">
      <c r="I179" s="106"/>
      <c r="J179" s="107"/>
      <c r="K179" s="82" t="s">
        <v>352</v>
      </c>
      <c r="L179" s="83"/>
      <c r="M179" s="86"/>
      <c r="N179" s="135">
        <v>9.25</v>
      </c>
      <c r="O179" s="81"/>
      <c r="P179" s="81"/>
      <c r="Q179" s="81"/>
      <c r="R179" s="81"/>
      <c r="S179" s="81"/>
      <c r="T179" s="81"/>
      <c r="U179" s="81"/>
      <c r="V179" s="81"/>
      <c r="W179" s="81"/>
      <c r="X179" s="81"/>
      <c r="Y179" s="81"/>
      <c r="Z179" s="81"/>
      <c r="AA179" s="81"/>
    </row>
    <row r="180" spans="9:27" outlineLevel="1" x14ac:dyDescent="0.2">
      <c r="I180" s="106"/>
      <c r="J180" s="107"/>
      <c r="K180" s="88" t="s">
        <v>353</v>
      </c>
      <c r="L180" s="83"/>
      <c r="M180" s="86"/>
      <c r="N180" s="134">
        <f>AVERAGE(N179:N179)</f>
        <v>9.25</v>
      </c>
      <c r="O180" s="81"/>
      <c r="P180" s="81"/>
      <c r="Q180" s="81"/>
      <c r="R180" s="81"/>
      <c r="S180" s="81"/>
      <c r="T180" s="81"/>
      <c r="U180" s="81"/>
      <c r="V180" s="81"/>
      <c r="W180" s="81"/>
      <c r="X180" s="81"/>
      <c r="Y180" s="81"/>
      <c r="Z180" s="81"/>
      <c r="AA180" s="81"/>
    </row>
    <row r="181" spans="9:27" outlineLevel="1" x14ac:dyDescent="0.2">
      <c r="I181" s="83"/>
      <c r="J181" s="107" t="s">
        <v>354</v>
      </c>
      <c r="K181" s="82"/>
      <c r="L181" s="83"/>
      <c r="M181" s="86"/>
      <c r="N181" s="111"/>
      <c r="O181" s="81"/>
      <c r="P181" s="81"/>
      <c r="Q181" s="81"/>
      <c r="R181" s="81"/>
      <c r="S181" s="81"/>
      <c r="T181" s="81"/>
      <c r="U181" s="81"/>
      <c r="V181" s="81"/>
      <c r="W181" s="81"/>
      <c r="X181" s="81"/>
      <c r="Y181" s="81"/>
      <c r="Z181" s="81"/>
      <c r="AA181" s="81"/>
    </row>
    <row r="182" spans="9:27" outlineLevel="1" x14ac:dyDescent="0.2">
      <c r="I182" s="83"/>
      <c r="J182" s="107"/>
      <c r="K182" s="82" t="s">
        <v>352</v>
      </c>
      <c r="L182" s="83"/>
      <c r="M182" s="86"/>
      <c r="N182" s="135">
        <v>12</v>
      </c>
      <c r="O182" s="81"/>
      <c r="P182" s="81"/>
      <c r="Q182" s="81"/>
      <c r="R182" s="81"/>
      <c r="S182" s="81"/>
      <c r="T182" s="81"/>
      <c r="U182" s="81"/>
      <c r="V182" s="81"/>
      <c r="W182" s="81"/>
      <c r="X182" s="81"/>
      <c r="Y182" s="81"/>
      <c r="Z182" s="81"/>
      <c r="AA182" s="81"/>
    </row>
    <row r="183" spans="9:27" outlineLevel="1" x14ac:dyDescent="0.2">
      <c r="I183" s="83"/>
      <c r="J183" s="107"/>
      <c r="K183" s="88" t="s">
        <v>354</v>
      </c>
      <c r="L183" s="83"/>
      <c r="M183" s="86"/>
      <c r="N183" s="134">
        <f>AVERAGE(N182:N182)</f>
        <v>12</v>
      </c>
      <c r="O183" s="81"/>
      <c r="P183" s="81"/>
      <c r="Q183" s="81"/>
      <c r="R183" s="81"/>
      <c r="S183" s="81"/>
      <c r="T183" s="81"/>
      <c r="U183" s="81"/>
      <c r="V183" s="81"/>
      <c r="W183" s="81"/>
      <c r="X183" s="81"/>
      <c r="Y183" s="81"/>
      <c r="Z183" s="81"/>
      <c r="AA183" s="81"/>
    </row>
    <row r="184" spans="9:27" outlineLevel="1" x14ac:dyDescent="0.2">
      <c r="I184" s="106" t="s">
        <v>421</v>
      </c>
      <c r="J184" s="106"/>
      <c r="K184" s="82"/>
      <c r="L184" s="116"/>
      <c r="M184" s="90"/>
      <c r="N184" s="134"/>
      <c r="O184" s="83"/>
      <c r="P184" s="83"/>
      <c r="Q184" s="83"/>
      <c r="R184" s="83"/>
      <c r="S184" s="83"/>
      <c r="T184" s="83"/>
      <c r="U184" s="83"/>
      <c r="V184" s="83"/>
      <c r="W184" s="83"/>
      <c r="X184" s="83"/>
      <c r="Y184" s="83"/>
      <c r="Z184" s="83"/>
      <c r="AA184" s="83"/>
    </row>
    <row r="185" spans="9:27" outlineLevel="1" x14ac:dyDescent="0.2">
      <c r="I185" s="81"/>
      <c r="J185" s="84"/>
      <c r="K185" s="107" t="s">
        <v>422</v>
      </c>
      <c r="L185" s="116"/>
      <c r="M185" s="90"/>
      <c r="N185" s="134"/>
      <c r="O185" s="83"/>
      <c r="P185" s="83"/>
      <c r="Q185" s="83"/>
      <c r="R185" s="83"/>
      <c r="S185" s="83"/>
      <c r="T185" s="83"/>
      <c r="U185" s="83"/>
      <c r="V185" s="83"/>
      <c r="W185" s="83"/>
      <c r="X185" s="83"/>
      <c r="Y185" s="83"/>
      <c r="Z185" s="83"/>
      <c r="AA185" s="83"/>
    </row>
    <row r="186" spans="9:27" outlineLevel="1" x14ac:dyDescent="0.2">
      <c r="I186" s="81"/>
      <c r="J186" s="84"/>
      <c r="K186" s="82" t="s">
        <v>352</v>
      </c>
      <c r="L186" s="116"/>
      <c r="M186" s="90"/>
      <c r="N186" s="135">
        <v>13</v>
      </c>
      <c r="O186" s="83"/>
      <c r="P186" s="83"/>
      <c r="Q186" s="83"/>
      <c r="R186" s="83"/>
      <c r="S186" s="83"/>
      <c r="T186" s="83"/>
      <c r="U186" s="83"/>
      <c r="V186" s="83"/>
      <c r="W186" s="83"/>
      <c r="X186" s="83"/>
      <c r="Y186" s="83"/>
      <c r="Z186" s="83"/>
      <c r="AA186" s="83"/>
    </row>
    <row r="187" spans="9:27" outlineLevel="1" x14ac:dyDescent="0.2">
      <c r="I187" s="81"/>
      <c r="J187" s="84"/>
      <c r="K187" s="88" t="s">
        <v>423</v>
      </c>
      <c r="L187" s="116"/>
      <c r="M187" s="90"/>
      <c r="N187" s="134">
        <f>AVERAGE(N186:N186)</f>
        <v>13</v>
      </c>
      <c r="O187" s="83"/>
      <c r="P187" s="83"/>
      <c r="Q187" s="83"/>
      <c r="R187" s="83"/>
      <c r="S187" s="83"/>
      <c r="T187" s="83"/>
      <c r="U187" s="83"/>
      <c r="V187" s="83"/>
      <c r="W187" s="83"/>
      <c r="X187" s="83"/>
      <c r="Y187" s="83"/>
      <c r="Z187" s="83"/>
      <c r="AA187" s="83"/>
    </row>
    <row r="188" spans="9:27" outlineLevel="1" x14ac:dyDescent="0.2">
      <c r="I188" s="81"/>
      <c r="J188" s="84"/>
      <c r="K188" s="107" t="s">
        <v>424</v>
      </c>
      <c r="L188" s="116"/>
      <c r="M188" s="90"/>
      <c r="N188" s="134"/>
      <c r="O188" s="83"/>
      <c r="P188" s="83"/>
      <c r="Q188" s="83"/>
      <c r="R188" s="83"/>
      <c r="S188" s="83"/>
      <c r="T188" s="83"/>
      <c r="U188" s="83"/>
      <c r="V188" s="83"/>
      <c r="W188" s="83"/>
      <c r="X188" s="83"/>
      <c r="Y188" s="83"/>
      <c r="Z188" s="83"/>
      <c r="AA188" s="83"/>
    </row>
    <row r="189" spans="9:27" outlineLevel="1" x14ac:dyDescent="0.2">
      <c r="I189" s="81"/>
      <c r="J189" s="84"/>
      <c r="K189" s="82" t="s">
        <v>352</v>
      </c>
      <c r="L189" s="116"/>
      <c r="M189" s="90"/>
      <c r="N189" s="135">
        <v>13</v>
      </c>
      <c r="O189" s="83"/>
      <c r="P189" s="83"/>
      <c r="Q189" s="83"/>
      <c r="R189" s="83"/>
      <c r="S189" s="83"/>
      <c r="T189" s="83"/>
      <c r="U189" s="83"/>
      <c r="V189" s="83"/>
      <c r="W189" s="83"/>
      <c r="X189" s="83"/>
      <c r="Y189" s="83"/>
      <c r="Z189" s="83"/>
      <c r="AA189" s="83"/>
    </row>
    <row r="190" spans="9:27" outlineLevel="1" x14ac:dyDescent="0.2">
      <c r="I190" s="81"/>
      <c r="J190" s="84"/>
      <c r="K190" s="88" t="s">
        <v>425</v>
      </c>
      <c r="L190" s="116"/>
      <c r="M190" s="90"/>
      <c r="N190" s="134">
        <f>AVERAGE(N189:N189)</f>
        <v>13</v>
      </c>
      <c r="O190" s="83"/>
      <c r="P190" s="83"/>
      <c r="Q190" s="83"/>
      <c r="R190" s="83"/>
      <c r="S190" s="83"/>
      <c r="T190" s="83"/>
      <c r="U190" s="83"/>
      <c r="V190" s="83"/>
      <c r="W190" s="83"/>
      <c r="X190" s="83"/>
      <c r="Y190" s="83"/>
      <c r="Z190" s="83"/>
      <c r="AA190" s="83"/>
    </row>
    <row r="191" spans="9:27" outlineLevel="1" x14ac:dyDescent="0.2">
      <c r="I191" s="81"/>
      <c r="J191" s="84"/>
      <c r="K191" s="107" t="s">
        <v>426</v>
      </c>
      <c r="L191" s="116"/>
      <c r="M191" s="90"/>
      <c r="N191" s="134">
        <v>10.25</v>
      </c>
      <c r="O191" s="83"/>
      <c r="P191" s="83"/>
      <c r="Q191" s="83"/>
      <c r="R191" s="83"/>
      <c r="S191" s="83"/>
      <c r="T191" s="83"/>
      <c r="U191" s="83"/>
      <c r="V191" s="83"/>
      <c r="W191" s="83"/>
      <c r="X191" s="83"/>
      <c r="Y191" s="83"/>
      <c r="Z191" s="83"/>
      <c r="AA191" s="83"/>
    </row>
    <row r="192" spans="9:27" outlineLevel="1" x14ac:dyDescent="0.2">
      <c r="I192" s="138"/>
      <c r="J192" s="138"/>
      <c r="K192" s="138"/>
      <c r="L192" s="138"/>
      <c r="M192" s="138"/>
      <c r="N192" s="138"/>
      <c r="O192" s="138"/>
      <c r="P192" s="138"/>
      <c r="Q192" s="138"/>
      <c r="R192" s="138"/>
      <c r="S192" s="138"/>
      <c r="T192" s="138"/>
      <c r="U192" s="138"/>
      <c r="V192" s="138"/>
      <c r="W192" s="138"/>
      <c r="X192" s="138"/>
      <c r="Y192" s="138"/>
      <c r="Z192" s="138"/>
      <c r="AA192" s="138"/>
    </row>
    <row r="193" spans="8:27" outlineLevel="1" x14ac:dyDescent="0.2">
      <c r="I193" s="103" t="s">
        <v>355</v>
      </c>
      <c r="J193" s="92"/>
      <c r="K193" s="93"/>
      <c r="L193" s="137"/>
      <c r="M193" s="108"/>
      <c r="N193" s="108"/>
      <c r="O193" s="108"/>
      <c r="P193" s="108"/>
      <c r="Q193" s="108"/>
      <c r="R193" s="108"/>
      <c r="S193" s="108"/>
      <c r="T193" s="108"/>
      <c r="U193" s="108"/>
      <c r="V193" s="108"/>
      <c r="W193" s="108"/>
      <c r="X193" s="108"/>
      <c r="Y193" s="108"/>
      <c r="Z193" s="108"/>
      <c r="AA193" s="108"/>
    </row>
    <row r="194" spans="8:27" outlineLevel="1" x14ac:dyDescent="0.2">
      <c r="I194" s="103"/>
      <c r="J194" s="105" t="s">
        <v>427</v>
      </c>
      <c r="K194" s="93"/>
      <c r="L194" s="137"/>
      <c r="M194" s="108"/>
      <c r="N194" s="108"/>
      <c r="O194" s="108"/>
      <c r="P194" s="108"/>
      <c r="Q194" s="108"/>
      <c r="R194" s="108"/>
      <c r="S194" s="108"/>
      <c r="T194" s="108"/>
      <c r="U194" s="108"/>
      <c r="V194" s="108"/>
      <c r="W194" s="108"/>
      <c r="X194" s="108"/>
      <c r="Y194" s="108"/>
      <c r="Z194" s="108"/>
      <c r="AA194" s="108"/>
    </row>
    <row r="195" spans="8:27" outlineLevel="1" x14ac:dyDescent="0.2">
      <c r="I195" s="96"/>
      <c r="J195" s="96"/>
      <c r="K195" s="91" t="s">
        <v>356</v>
      </c>
      <c r="L195" s="137"/>
      <c r="M195" s="108"/>
      <c r="N195" s="178">
        <f t="shared" ref="N195:AA195" si="18">AVERAGE(N173:N175)*USD_to_CAD</f>
        <v>9.2309053325524726</v>
      </c>
      <c r="O195" s="178">
        <f t="shared" si="18"/>
        <v>6.9704340599669479</v>
      </c>
      <c r="P195" s="178">
        <f t="shared" si="18"/>
        <v>6.4766949807192891</v>
      </c>
      <c r="Q195" s="178">
        <f t="shared" si="18"/>
        <v>6.1281732777209417</v>
      </c>
      <c r="R195" s="178">
        <f t="shared" si="18"/>
        <v>5.8667820004721811</v>
      </c>
      <c r="S195" s="178">
        <f t="shared" si="18"/>
        <v>5.634434198473282</v>
      </c>
      <c r="T195" s="178">
        <f t="shared" si="18"/>
        <v>5.3730429212245223</v>
      </c>
      <c r="U195" s="178">
        <f t="shared" si="18"/>
        <v>5.1697385944754872</v>
      </c>
      <c r="V195" s="178">
        <f t="shared" si="18"/>
        <v>5.0117171338632254</v>
      </c>
      <c r="W195" s="178">
        <f t="shared" si="18"/>
        <v>4.9068225347761105</v>
      </c>
      <c r="X195" s="178">
        <f t="shared" si="18"/>
        <v>4.8447421064295222</v>
      </c>
      <c r="Y195" s="178">
        <f t="shared" si="18"/>
        <v>4.782661678082949</v>
      </c>
      <c r="Z195" s="178">
        <f t="shared" si="18"/>
        <v>4.7205812497363757</v>
      </c>
      <c r="AA195" s="178">
        <f t="shared" si="18"/>
        <v>4.6585008213897865</v>
      </c>
    </row>
    <row r="196" spans="8:27" outlineLevel="1" x14ac:dyDescent="0.2">
      <c r="I196" s="96"/>
      <c r="J196" s="96"/>
      <c r="K196" s="105" t="s">
        <v>357</v>
      </c>
      <c r="L196" s="137"/>
      <c r="M196" s="108"/>
      <c r="N196" s="178">
        <f t="shared" ref="N196:AA196" si="19">-1.545*LN(N4-2021)+8.4748</f>
        <v>8.4748000000000001</v>
      </c>
      <c r="O196" s="178">
        <f t="shared" si="19"/>
        <v>7.4038876060348846</v>
      </c>
      <c r="P196" s="178">
        <f t="shared" si="19"/>
        <v>6.7774440140077701</v>
      </c>
      <c r="Q196" s="178">
        <f t="shared" si="19"/>
        <v>6.3329752120697691</v>
      </c>
      <c r="R196" s="178">
        <f t="shared" si="19"/>
        <v>5.9882184252893147</v>
      </c>
      <c r="S196" s="178">
        <f t="shared" si="19"/>
        <v>5.7065316200426555</v>
      </c>
      <c r="T196" s="178">
        <f t="shared" si="19"/>
        <v>5.468368819709541</v>
      </c>
      <c r="U196" s="178">
        <f t="shared" si="19"/>
        <v>5.2620628181046545</v>
      </c>
      <c r="V196" s="178">
        <f t="shared" si="19"/>
        <v>5.0800880280155409</v>
      </c>
      <c r="W196" s="178">
        <f t="shared" si="19"/>
        <v>4.9173060313241992</v>
      </c>
      <c r="X196" s="178">
        <f t="shared" si="19"/>
        <v>4.7700518035265178</v>
      </c>
      <c r="Y196" s="178">
        <f t="shared" si="19"/>
        <v>4.63561922607754</v>
      </c>
      <c r="Z196" s="178">
        <f t="shared" si="19"/>
        <v>4.5119532427219262</v>
      </c>
      <c r="AA196" s="178">
        <f t="shared" si="19"/>
        <v>4.3974564257444264</v>
      </c>
    </row>
    <row r="197" spans="8:27" outlineLevel="1" x14ac:dyDescent="0.2">
      <c r="I197" s="96"/>
      <c r="J197" s="96"/>
      <c r="K197" s="105" t="s">
        <v>358</v>
      </c>
      <c r="L197" s="137"/>
      <c r="M197" s="108"/>
      <c r="N197" s="178" cm="1">
        <f t="array" ref="N197:AA197">N180*forecast_es.battery_fixedOM_CA/N196</f>
        <v>9.25</v>
      </c>
      <c r="O197" s="178">
        <v>8.0811299801556</v>
      </c>
      <c r="P197" s="178">
        <v>7.3973848503294315</v>
      </c>
      <c r="Q197" s="178">
        <v>6.9122599603112</v>
      </c>
      <c r="R197" s="178">
        <v>6.5359678616517387</v>
      </c>
      <c r="S197" s="178">
        <v>6.2285148304850333</v>
      </c>
      <c r="T197" s="178">
        <v>5.9685669965442552</v>
      </c>
      <c r="U197" s="178">
        <v>5.7433899404668018</v>
      </c>
      <c r="V197" s="178">
        <v>5.5447697006588657</v>
      </c>
      <c r="W197" s="178">
        <v>5.3670978418073396</v>
      </c>
      <c r="X197" s="178">
        <v>5.2063740952730795</v>
      </c>
      <c r="Y197" s="178">
        <v>5.0596448106406342</v>
      </c>
      <c r="Z197" s="178">
        <v>4.9246669532234177</v>
      </c>
      <c r="AA197" s="178">
        <v>4.799696976699857</v>
      </c>
    </row>
    <row r="198" spans="8:27" outlineLevel="1" x14ac:dyDescent="0.2">
      <c r="I198" s="96"/>
      <c r="J198" s="96"/>
      <c r="K198" s="105" t="s">
        <v>359</v>
      </c>
      <c r="L198" s="137"/>
      <c r="M198" s="108"/>
      <c r="N198" s="178" cm="1">
        <f t="array" ref="N198:AA198">N183*forecast_es.battery_fixedOM_CA/N196</f>
        <v>12</v>
      </c>
      <c r="O198" s="178">
        <v>10.483628082364021</v>
      </c>
      <c r="P198" s="178">
        <v>9.5966073734003441</v>
      </c>
      <c r="Q198" s="178">
        <v>8.9672561647280435</v>
      </c>
      <c r="R198" s="178">
        <v>8.4790934421427977</v>
      </c>
      <c r="S198" s="178">
        <v>8.0802354557643685</v>
      </c>
      <c r="T198" s="178">
        <v>7.7430058333547107</v>
      </c>
      <c r="U198" s="178">
        <v>7.4508842470920671</v>
      </c>
      <c r="V198" s="178">
        <v>7.19321474680069</v>
      </c>
      <c r="W198" s="178">
        <v>6.9627215245068195</v>
      </c>
      <c r="X198" s="178">
        <v>6.7542150425164271</v>
      </c>
      <c r="Y198" s="178">
        <v>6.5638635381283894</v>
      </c>
      <c r="Z198" s="178">
        <v>6.3887571285060547</v>
      </c>
      <c r="AA198" s="178">
        <v>6.2266339157187325</v>
      </c>
    </row>
    <row r="199" spans="8:27" outlineLevel="1" x14ac:dyDescent="0.2">
      <c r="I199" s="96"/>
      <c r="J199" s="105" t="s">
        <v>428</v>
      </c>
      <c r="K199" s="93"/>
      <c r="L199" s="137"/>
      <c r="M199" s="108"/>
      <c r="N199" s="178"/>
      <c r="O199" s="178"/>
      <c r="P199" s="178"/>
      <c r="Q199" s="178"/>
      <c r="R199" s="178"/>
      <c r="S199" s="178"/>
      <c r="T199" s="178"/>
      <c r="U199" s="178"/>
      <c r="V199" s="178"/>
      <c r="W199" s="178"/>
      <c r="X199" s="178"/>
      <c r="Y199" s="178"/>
      <c r="Z199" s="178"/>
      <c r="AA199" s="178"/>
    </row>
    <row r="200" spans="8:27" outlineLevel="1" x14ac:dyDescent="0.2">
      <c r="I200" s="96"/>
      <c r="J200" s="92"/>
      <c r="K200" s="105" t="s">
        <v>357</v>
      </c>
      <c r="L200" s="137"/>
      <c r="M200" s="108"/>
      <c r="N200" s="178">
        <f>$N$191</f>
        <v>10.25</v>
      </c>
      <c r="O200" s="178">
        <f t="shared" ref="O200:AA200" si="20">$N$191</f>
        <v>10.25</v>
      </c>
      <c r="P200" s="178">
        <f t="shared" si="20"/>
        <v>10.25</v>
      </c>
      <c r="Q200" s="178">
        <f t="shared" si="20"/>
        <v>10.25</v>
      </c>
      <c r="R200" s="178">
        <f t="shared" si="20"/>
        <v>10.25</v>
      </c>
      <c r="S200" s="178">
        <f t="shared" si="20"/>
        <v>10.25</v>
      </c>
      <c r="T200" s="178">
        <f t="shared" si="20"/>
        <v>10.25</v>
      </c>
      <c r="U200" s="178">
        <f t="shared" si="20"/>
        <v>10.25</v>
      </c>
      <c r="V200" s="178">
        <f t="shared" si="20"/>
        <v>10.25</v>
      </c>
      <c r="W200" s="178">
        <f t="shared" si="20"/>
        <v>10.25</v>
      </c>
      <c r="X200" s="178">
        <f t="shared" si="20"/>
        <v>10.25</v>
      </c>
      <c r="Y200" s="178">
        <f t="shared" si="20"/>
        <v>10.25</v>
      </c>
      <c r="Z200" s="178">
        <f t="shared" si="20"/>
        <v>10.25</v>
      </c>
      <c r="AA200" s="178">
        <f t="shared" si="20"/>
        <v>10.25</v>
      </c>
    </row>
    <row r="201" spans="8:27" outlineLevel="1" x14ac:dyDescent="0.2">
      <c r="H201" s="52"/>
      <c r="I201" s="96"/>
      <c r="J201" s="92"/>
      <c r="K201" s="105" t="s">
        <v>358</v>
      </c>
      <c r="L201" s="137"/>
      <c r="M201" s="108"/>
      <c r="N201" s="178">
        <f>$N$187</f>
        <v>13</v>
      </c>
      <c r="O201" s="178">
        <f t="shared" ref="O201:AA201" si="21">$N$187</f>
        <v>13</v>
      </c>
      <c r="P201" s="178">
        <f t="shared" si="21"/>
        <v>13</v>
      </c>
      <c r="Q201" s="178">
        <f t="shared" si="21"/>
        <v>13</v>
      </c>
      <c r="R201" s="178">
        <f t="shared" si="21"/>
        <v>13</v>
      </c>
      <c r="S201" s="178">
        <f t="shared" si="21"/>
        <v>13</v>
      </c>
      <c r="T201" s="178">
        <f t="shared" si="21"/>
        <v>13</v>
      </c>
      <c r="U201" s="178">
        <f t="shared" si="21"/>
        <v>13</v>
      </c>
      <c r="V201" s="178">
        <f t="shared" si="21"/>
        <v>13</v>
      </c>
      <c r="W201" s="178">
        <f t="shared" si="21"/>
        <v>13</v>
      </c>
      <c r="X201" s="178">
        <f t="shared" si="21"/>
        <v>13</v>
      </c>
      <c r="Y201" s="178">
        <f t="shared" si="21"/>
        <v>13</v>
      </c>
      <c r="Z201" s="178">
        <f t="shared" si="21"/>
        <v>13</v>
      </c>
      <c r="AA201" s="178">
        <f t="shared" si="21"/>
        <v>13</v>
      </c>
    </row>
    <row r="202" spans="8:27" outlineLevel="1" x14ac:dyDescent="0.2">
      <c r="H202" s="52"/>
      <c r="I202" s="96"/>
      <c r="J202" s="92"/>
      <c r="K202" s="105" t="s">
        <v>359</v>
      </c>
      <c r="L202" s="137"/>
      <c r="M202" s="108"/>
      <c r="N202" s="178">
        <f>$N$190</f>
        <v>13</v>
      </c>
      <c r="O202" s="178">
        <f t="shared" ref="O202:AA202" si="22">$N$190</f>
        <v>13</v>
      </c>
      <c r="P202" s="178">
        <f t="shared" si="22"/>
        <v>13</v>
      </c>
      <c r="Q202" s="178">
        <f t="shared" si="22"/>
        <v>13</v>
      </c>
      <c r="R202" s="178">
        <f t="shared" si="22"/>
        <v>13</v>
      </c>
      <c r="S202" s="178">
        <f t="shared" si="22"/>
        <v>13</v>
      </c>
      <c r="T202" s="178">
        <f t="shared" si="22"/>
        <v>13</v>
      </c>
      <c r="U202" s="178">
        <f t="shared" si="22"/>
        <v>13</v>
      </c>
      <c r="V202" s="178">
        <f t="shared" si="22"/>
        <v>13</v>
      </c>
      <c r="W202" s="178">
        <f t="shared" si="22"/>
        <v>13</v>
      </c>
      <c r="X202" s="178">
        <f t="shared" si="22"/>
        <v>13</v>
      </c>
      <c r="Y202" s="178">
        <f t="shared" si="22"/>
        <v>13</v>
      </c>
      <c r="Z202" s="178">
        <f t="shared" si="22"/>
        <v>13</v>
      </c>
      <c r="AA202" s="178">
        <f t="shared" si="22"/>
        <v>13</v>
      </c>
    </row>
    <row r="203" spans="8:27" outlineLevel="1" x14ac:dyDescent="0.2">
      <c r="H203" s="52"/>
      <c r="I203" s="96"/>
      <c r="J203" s="105" t="s">
        <v>429</v>
      </c>
      <c r="K203" s="105"/>
      <c r="L203" s="137"/>
      <c r="M203" s="108"/>
      <c r="N203" s="178"/>
      <c r="O203" s="178"/>
      <c r="P203" s="178"/>
      <c r="Q203" s="178"/>
      <c r="R203" s="178"/>
      <c r="S203" s="178"/>
      <c r="T203" s="178"/>
      <c r="U203" s="178"/>
      <c r="V203" s="178"/>
      <c r="W203" s="178"/>
      <c r="X203" s="178"/>
      <c r="Y203" s="178"/>
      <c r="Z203" s="178"/>
      <c r="AA203" s="178"/>
    </row>
    <row r="204" spans="8:27" outlineLevel="1" x14ac:dyDescent="0.2">
      <c r="I204" s="96"/>
      <c r="J204" s="92"/>
      <c r="K204" s="105" t="s">
        <v>357</v>
      </c>
      <c r="L204" s="137"/>
      <c r="M204" s="108"/>
      <c r="N204" s="178">
        <v>1.27</v>
      </c>
      <c r="O204" s="178">
        <v>1.27</v>
      </c>
      <c r="P204" s="178">
        <v>1.27</v>
      </c>
      <c r="Q204" s="178">
        <v>1.27</v>
      </c>
      <c r="R204" s="178">
        <v>1.27</v>
      </c>
      <c r="S204" s="178">
        <v>1.27</v>
      </c>
      <c r="T204" s="178">
        <v>1.27</v>
      </c>
      <c r="U204" s="178">
        <v>1.27</v>
      </c>
      <c r="V204" s="178">
        <v>1.27</v>
      </c>
      <c r="W204" s="178">
        <v>1.27</v>
      </c>
      <c r="X204" s="178">
        <v>1.27</v>
      </c>
      <c r="Y204" s="178">
        <v>1.27</v>
      </c>
      <c r="Z204" s="178">
        <v>1.27</v>
      </c>
      <c r="AA204" s="178">
        <v>1.27</v>
      </c>
    </row>
    <row r="206" spans="8:27" x14ac:dyDescent="0.2">
      <c r="H206" s="72" t="s">
        <v>430</v>
      </c>
    </row>
    <row r="207" spans="8:27" x14ac:dyDescent="0.2">
      <c r="I207" s="311" t="s">
        <v>431</v>
      </c>
      <c r="J207" s="96"/>
      <c r="K207" s="96"/>
      <c r="L207" s="96"/>
      <c r="M207" s="96"/>
      <c r="N207" s="96"/>
      <c r="O207" s="96"/>
      <c r="P207" s="96"/>
      <c r="Q207" s="96"/>
      <c r="R207" s="96"/>
      <c r="S207" s="96"/>
      <c r="T207" s="96"/>
      <c r="U207" s="96"/>
      <c r="V207" s="96"/>
      <c r="W207" s="96"/>
      <c r="X207" s="96"/>
      <c r="Y207" s="96"/>
      <c r="Z207" s="96"/>
      <c r="AA207" s="96"/>
    </row>
    <row r="208" spans="8:27" x14ac:dyDescent="0.2">
      <c r="I208" s="96"/>
      <c r="J208" s="92" t="s">
        <v>321</v>
      </c>
      <c r="K208" s="96"/>
      <c r="L208" s="96"/>
      <c r="M208" s="96"/>
      <c r="N208" s="96"/>
      <c r="O208" s="96"/>
      <c r="P208" s="96"/>
      <c r="Q208" s="96"/>
      <c r="R208" s="96"/>
      <c r="S208" s="96"/>
      <c r="T208" s="96"/>
      <c r="U208" s="96"/>
      <c r="V208" s="96"/>
      <c r="W208" s="96"/>
      <c r="X208" s="96"/>
      <c r="Y208" s="96"/>
      <c r="Z208" s="96"/>
      <c r="AA208" s="96"/>
    </row>
    <row r="209" spans="9:27" x14ac:dyDescent="0.2">
      <c r="I209" s="96"/>
      <c r="J209" s="96"/>
      <c r="K209" s="96" t="s">
        <v>432</v>
      </c>
      <c r="L209" s="96"/>
      <c r="M209" s="310">
        <v>0.83</v>
      </c>
      <c r="N209" s="310">
        <f t="shared" ref="N209:U209" si="23">($V$209-$M$209)/COUNT($N$4:$V$4)+M209</f>
        <v>0.8322222222222222</v>
      </c>
      <c r="O209" s="310">
        <f t="shared" si="23"/>
        <v>0.83444444444444443</v>
      </c>
      <c r="P209" s="310">
        <f t="shared" si="23"/>
        <v>0.83666666666666667</v>
      </c>
      <c r="Q209" s="310">
        <f t="shared" si="23"/>
        <v>0.83888888888888891</v>
      </c>
      <c r="R209" s="310">
        <f t="shared" si="23"/>
        <v>0.84111111111111114</v>
      </c>
      <c r="S209" s="310">
        <f t="shared" si="23"/>
        <v>0.84333333333333338</v>
      </c>
      <c r="T209" s="310">
        <f t="shared" si="23"/>
        <v>0.84555555555555562</v>
      </c>
      <c r="U209" s="310">
        <f t="shared" si="23"/>
        <v>0.84777777777777785</v>
      </c>
      <c r="V209" s="310">
        <v>0.85</v>
      </c>
      <c r="W209" s="310" cm="1">
        <f t="array" ref="W209">TREND($M$209:$V$209,$M$4:$V$4,W4)</f>
        <v>0.85222222222222133</v>
      </c>
      <c r="X209" s="310" cm="1">
        <f t="array" ref="X209">TREND($M$209:$V$209,$M$4:$V$4,X4)</f>
        <v>0.8544444444444439</v>
      </c>
      <c r="Y209" s="310" cm="1">
        <f t="array" ref="Y209">TREND($M$209:$V$209,$M$4:$V$4,Y4)</f>
        <v>0.85666666666666647</v>
      </c>
      <c r="Z209" s="310" cm="1">
        <f t="array" ref="Z209">TREND($M$209:$V$209,$M$4:$V$4,Z4)</f>
        <v>0.85888888888888815</v>
      </c>
      <c r="AA209" s="310" cm="1">
        <f t="array" ref="AA209">TREND($M$209:$V$209,$M$4:$V$4,AA4)</f>
        <v>0.86111111111111072</v>
      </c>
    </row>
    <row r="216" spans="9:27" x14ac:dyDescent="0.2">
      <c r="I216" s="52"/>
      <c r="J216" s="52"/>
    </row>
    <row r="230" spans="9:10" x14ac:dyDescent="0.2">
      <c r="I230" s="52"/>
      <c r="J230" s="52"/>
    </row>
    <row r="242" spans="9:10" x14ac:dyDescent="0.2">
      <c r="I242" s="52"/>
      <c r="J242" s="52"/>
    </row>
    <row r="267" spans="9:11" x14ac:dyDescent="0.2">
      <c r="K267" s="59"/>
    </row>
    <row r="268" spans="9:11" x14ac:dyDescent="0.2">
      <c r="K268" s="59"/>
    </row>
    <row r="269" spans="9:11" x14ac:dyDescent="0.2">
      <c r="K269" s="59"/>
    </row>
    <row r="270" spans="9:11" x14ac:dyDescent="0.2">
      <c r="I270" s="52"/>
      <c r="J270" s="52"/>
    </row>
    <row r="315" spans="9:11" x14ac:dyDescent="0.2">
      <c r="I315" s="52"/>
      <c r="J315" s="52"/>
    </row>
    <row r="316" spans="9:11" x14ac:dyDescent="0.2">
      <c r="I316" s="52"/>
      <c r="J316" s="52"/>
    </row>
    <row r="317" spans="9:11" x14ac:dyDescent="0.2">
      <c r="I317" s="52"/>
      <c r="J317" s="52"/>
    </row>
    <row r="318" spans="9:11" x14ac:dyDescent="0.2">
      <c r="I318" s="52"/>
      <c r="J318" s="52"/>
    </row>
    <row r="319" spans="9:11" x14ac:dyDescent="0.2">
      <c r="K319" s="48"/>
    </row>
    <row r="320" spans="9:11" x14ac:dyDescent="0.2">
      <c r="K320" s="33"/>
    </row>
    <row r="321" spans="11:11" x14ac:dyDescent="0.2">
      <c r="K321" s="33"/>
    </row>
    <row r="322" spans="11:11" x14ac:dyDescent="0.2">
      <c r="K322" s="33"/>
    </row>
    <row r="323" spans="11:11" x14ac:dyDescent="0.2">
      <c r="K323" s="33"/>
    </row>
    <row r="324" spans="11:11" x14ac:dyDescent="0.2">
      <c r="K324" s="33"/>
    </row>
    <row r="325" spans="11:11" x14ac:dyDescent="0.2">
      <c r="K325" s="33"/>
    </row>
    <row r="326" spans="11:11" x14ac:dyDescent="0.2">
      <c r="K326" s="33"/>
    </row>
    <row r="327" spans="11:11" x14ac:dyDescent="0.2">
      <c r="K327" s="33"/>
    </row>
    <row r="328" spans="11:11" x14ac:dyDescent="0.2">
      <c r="K328" s="33"/>
    </row>
    <row r="329" spans="11:11" x14ac:dyDescent="0.2">
      <c r="K329" s="33"/>
    </row>
    <row r="330" spans="11:11" x14ac:dyDescent="0.2">
      <c r="K330" s="33"/>
    </row>
    <row r="331" spans="11:11" x14ac:dyDescent="0.2">
      <c r="K331" s="33"/>
    </row>
    <row r="332" spans="11:11" x14ac:dyDescent="0.2">
      <c r="K332" s="33"/>
    </row>
    <row r="333" spans="11:11" x14ac:dyDescent="0.2">
      <c r="K333" s="33"/>
    </row>
    <row r="334" spans="11:11" x14ac:dyDescent="0.2">
      <c r="K334" s="33"/>
    </row>
    <row r="335" spans="11:11" x14ac:dyDescent="0.2">
      <c r="K335" s="33"/>
    </row>
    <row r="336" spans="11:11" x14ac:dyDescent="0.2">
      <c r="K336" s="33"/>
    </row>
    <row r="337" spans="11:11" x14ac:dyDescent="0.2">
      <c r="K337" s="33"/>
    </row>
    <row r="338" spans="11:11" x14ac:dyDescent="0.2">
      <c r="K338" s="33"/>
    </row>
    <row r="339" spans="11:11" x14ac:dyDescent="0.2">
      <c r="K339" s="33"/>
    </row>
    <row r="340" spans="11:11" x14ac:dyDescent="0.2">
      <c r="K340" s="33"/>
    </row>
    <row r="341" spans="11:11" x14ac:dyDescent="0.2">
      <c r="K341" s="33"/>
    </row>
    <row r="342" spans="11:11" x14ac:dyDescent="0.2">
      <c r="K342" s="33"/>
    </row>
    <row r="343" spans="11:11" x14ac:dyDescent="0.2">
      <c r="K343" s="33"/>
    </row>
    <row r="344" spans="11:11" x14ac:dyDescent="0.2">
      <c r="K344" s="33"/>
    </row>
    <row r="345" spans="11:11" x14ac:dyDescent="0.2">
      <c r="K345" s="33"/>
    </row>
    <row r="346" spans="11:11" x14ac:dyDescent="0.2">
      <c r="K346" s="33"/>
    </row>
    <row r="347" spans="11:11" x14ac:dyDescent="0.2">
      <c r="K347" s="33"/>
    </row>
    <row r="348" spans="11:11" x14ac:dyDescent="0.2">
      <c r="K348" s="33"/>
    </row>
    <row r="353" spans="11:11" x14ac:dyDescent="0.2">
      <c r="K353" s="48"/>
    </row>
    <row r="354" spans="11:11" x14ac:dyDescent="0.2">
      <c r="K354" s="33"/>
    </row>
    <row r="355" spans="11:11" x14ac:dyDescent="0.2">
      <c r="K355" s="33"/>
    </row>
    <row r="356" spans="11:11" x14ac:dyDescent="0.2">
      <c r="K356" s="33"/>
    </row>
    <row r="357" spans="11:11" x14ac:dyDescent="0.2">
      <c r="K357" s="33"/>
    </row>
    <row r="358" spans="11:11" x14ac:dyDescent="0.2">
      <c r="K358" s="33"/>
    </row>
    <row r="359" spans="11:11" x14ac:dyDescent="0.2">
      <c r="K359" s="33"/>
    </row>
    <row r="360" spans="11:11" x14ac:dyDescent="0.2">
      <c r="K360" s="33"/>
    </row>
    <row r="361" spans="11:11" x14ac:dyDescent="0.2">
      <c r="K361" s="33"/>
    </row>
    <row r="362" spans="11:11" x14ac:dyDescent="0.2">
      <c r="K362" s="33"/>
    </row>
    <row r="363" spans="11:11" x14ac:dyDescent="0.2">
      <c r="K363" s="33"/>
    </row>
    <row r="364" spans="11:11" x14ac:dyDescent="0.2">
      <c r="K364" s="33"/>
    </row>
    <row r="365" spans="11:11" x14ac:dyDescent="0.2">
      <c r="K365" s="33"/>
    </row>
    <row r="366" spans="11:11" x14ac:dyDescent="0.2">
      <c r="K366" s="33"/>
    </row>
    <row r="367" spans="11:11" x14ac:dyDescent="0.2">
      <c r="K367" s="33"/>
    </row>
  </sheetData>
  <mergeCells count="1">
    <mergeCell ref="B3:E3"/>
  </mergeCells>
  <phoneticPr fontId="14" type="noConversion"/>
  <hyperlinks>
    <hyperlink ref="J10" r:id="rId1" display="https://109ee710-a8f3-4a8a-9952-28554c7df7a5.usrfiles.com/ugd/109ee7_775f8efa3d034d439124b5431ff095a1.pdf" xr:uid="{20C9C776-E7D3-4971-A63C-ED265DF6978D}"/>
    <hyperlink ref="J17" r:id="rId2" display="https://www.pnnl.gov/lithium-ion-battery-lfp-and-nmc" xr:uid="{0AEB3D40-A033-4492-85F6-2E0C964B459E}"/>
    <hyperlink ref="J20" r:id="rId3" display="https://www.nrel.gov/docs/fy22osti/83586.pdf" xr:uid="{05FF197F-70D4-4DAA-B6B1-0E27807E1815}"/>
    <hyperlink ref="AF10" r:id="rId4" location=":~:text=Regarding%20Chinese%20battery%20manufacturers%2C%20CATL%20%28the%20world%C2%B4s%20largest,as%20Volkswagen%29%20both%20opt%20for%20the%20prismatic%20format. " display="https://cicenergigune.com/en/blog/format-battery-cell-manufacturers-prismatic-cylindrical-pouch#:~:text=Regarding%20Chinese%20battery%20manufacturers%2C%20CATL%20%28the%20world%C2%B4s%20largest,as%20Volkswagen%29%20both%20opt%20for%20the%20prismatic%20format. " xr:uid="{5EA6A51A-66D8-4A3E-BC2A-0222A9EC10A2}"/>
    <hyperlink ref="J23" r:id="rId5" display="https://www.nrel.gov/docs/fy21osti/78694.pdf" xr:uid="{D8F8E273-47E2-440E-8739-165B2319DF20}"/>
    <hyperlink ref="J25" r:id="rId6" display="https://atb.nrel.gov/electricity/2022/utility-scale_battery_storage" xr:uid="{A2162BB1-4AD5-4FA1-88EA-B03AABFECC0C}"/>
    <hyperlink ref="J30" r:id="rId7" display="https://www.tesla.com/megapack/design" xr:uid="{8088819F-D366-4C3E-B598-A97B16E8FEB6}"/>
    <hyperlink ref="J58" r:id="rId8" display="https://www.pnnl.gov/lithium-ion-battery-lfp-and-nmc" xr:uid="{34176737-A546-4F3F-A832-E4FD05AEAF29}"/>
    <hyperlink ref="J61" r:id="rId9" display="https://www.nrel.gov/docs/fy21osti/78694.pdf" xr:uid="{96E53823-BB48-44D7-8C77-6D8BDB0044CD}"/>
    <hyperlink ref="J63" r:id="rId10" display="https://atb.nrel.gov/electricity/2022/utility-scale_battery_storage" xr:uid="{78EFBFC7-D135-4693-8C43-BACD72353048}"/>
    <hyperlink ref="J68" r:id="rId11" display="https://www.nrel.gov/docs/fy22osti/83586.pdf" xr:uid="{26BD8BD2-4CF4-454A-B352-8132043AEA1E}"/>
    <hyperlink ref="J93" r:id="rId12" display="https://www.pnnl.gov/lithium-ion-battery-lfp-and-nmc" xr:uid="{92A768DE-4D1B-49D6-B2CC-8078F0263C58}"/>
    <hyperlink ref="J96" r:id="rId13" display="https://www.nrel.gov/docs/fy21osti/78694.pdf" xr:uid="{8E3EFA04-7CCA-4201-B2FA-417635CFFDB6}"/>
    <hyperlink ref="J101" r:id="rId14" display="https://www.nrel.gov/docs/fy22osti/83586.pdf" xr:uid="{E5AD2DA4-2F5B-4885-A515-DBF65E45B6EC}"/>
    <hyperlink ref="J138" r:id="rId15" display="https://www.nrel.gov/docs/fy22osti/83586.pdf" xr:uid="{7E3B51A3-151A-448A-B058-52A0B5ABB7A4}"/>
    <hyperlink ref="J150" r:id="rId16" display="https://www.pnnl.gov/lithium-ion-battery-lfp-and-nmc" xr:uid="{599F8EED-2116-4BB1-8DA4-7684507C4AB4}"/>
    <hyperlink ref="J153" r:id="rId17" display="https://www.nrel.gov/docs/fy21osti/78694.pdf" xr:uid="{CD48BBA3-F96E-470E-A182-440A92E5FA22}"/>
    <hyperlink ref="J157" r:id="rId18" display="https://www.tesla.com/megapack/design" xr:uid="{DC743606-27DD-422F-8D23-7602AF5D365D}"/>
    <hyperlink ref="J165" r:id="rId19" display="https://atb.nrel.gov/electricity/2022/utility-scale_battery_storage" xr:uid="{6C795128-DB63-43F2-8A12-74EC908AE182}"/>
    <hyperlink ref="J208" r:id="rId20" display="https://www.pnnl.gov/lithium-ion-battery-lfp-and-nmc" xr:uid="{776403F2-188E-4CE9-AE4D-64DA618227BC}"/>
  </hyperlinks>
  <pageMargins left="0.7" right="0.7" top="0.75" bottom="0.75" header="0.3" footer="0.3"/>
  <pageSetup orientation="portrait" r:id="rId21"/>
  <drawing r:id="rId2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8478C-2177-4D9B-BAD0-7562050421C9}">
  <dimension ref="B1:AG411"/>
  <sheetViews>
    <sheetView topLeftCell="A183" workbookViewId="0">
      <selection activeCell="H83" sqref="H83"/>
    </sheetView>
  </sheetViews>
  <sheetFormatPr baseColWidth="10" defaultColWidth="8.83203125" defaultRowHeight="16" outlineLevelRow="1" x14ac:dyDescent="0.2"/>
  <cols>
    <col min="1" max="1" width="2.6640625" customWidth="1"/>
    <col min="2" max="2" width="2.6640625" style="3" customWidth="1"/>
    <col min="3" max="3" width="2.6640625" style="4" customWidth="1"/>
    <col min="4" max="4" width="2.6640625" style="2" customWidth="1"/>
    <col min="5" max="5" width="20.6640625" customWidth="1"/>
    <col min="6" max="6" width="3.5" style="32" customWidth="1"/>
    <col min="7" max="7" width="2.6640625" style="32" customWidth="1"/>
    <col min="8" max="8" width="2.6640625" style="70" customWidth="1"/>
    <col min="9" max="10" width="2.6640625" style="32" customWidth="1"/>
    <col min="11" max="11" width="45.5" style="40" bestFit="1" customWidth="1"/>
    <col min="12" max="12" width="15.5" style="21" customWidth="1"/>
    <col min="13" max="27" width="10.83203125" style="21" customWidth="1"/>
    <col min="28" max="30" width="2.6640625" style="32" customWidth="1"/>
    <col min="31" max="32" width="30.6640625" style="32" customWidth="1"/>
    <col min="33" max="33" width="8.83203125" style="32"/>
  </cols>
  <sheetData>
    <row r="1" spans="2:33" ht="21" x14ac:dyDescent="0.25">
      <c r="B1" s="5" t="s">
        <v>433</v>
      </c>
    </row>
    <row r="2" spans="2:33" ht="19" x14ac:dyDescent="0.25">
      <c r="B2" s="1" t="str">
        <f>_Cover!B14</f>
        <v>Renewable Cost Forecast</v>
      </c>
    </row>
    <row r="3" spans="2:33" ht="15" x14ac:dyDescent="0.2">
      <c r="B3" s="331" t="str">
        <f ca="1">HYPERLINK("#"&amp;CELL("address", _Contents!B3 ), "Go to Table of Contents")</f>
        <v>Go to Table of Contents</v>
      </c>
      <c r="C3" s="331"/>
      <c r="D3" s="331"/>
      <c r="E3" s="331"/>
      <c r="F3" s="56"/>
      <c r="G3" s="56"/>
      <c r="H3" s="79"/>
      <c r="I3" s="56"/>
      <c r="J3" s="56"/>
    </row>
    <row r="4" spans="2:33" x14ac:dyDescent="0.2">
      <c r="L4" s="22">
        <v>2020</v>
      </c>
      <c r="M4" s="22">
        <v>2021</v>
      </c>
      <c r="N4" s="22">
        <v>2022</v>
      </c>
      <c r="O4" s="22">
        <v>2023</v>
      </c>
      <c r="P4" s="22">
        <v>2024</v>
      </c>
      <c r="Q4" s="22">
        <v>2025</v>
      </c>
      <c r="R4" s="22">
        <v>2026</v>
      </c>
      <c r="S4" s="22">
        <v>2027</v>
      </c>
      <c r="T4" s="22">
        <v>2028</v>
      </c>
      <c r="U4" s="22">
        <v>2029</v>
      </c>
      <c r="V4" s="22">
        <v>2030</v>
      </c>
      <c r="W4" s="22">
        <v>2031</v>
      </c>
      <c r="X4" s="22">
        <v>2032</v>
      </c>
      <c r="Y4" s="22">
        <v>2033</v>
      </c>
      <c r="Z4" s="22">
        <v>2034</v>
      </c>
      <c r="AA4" s="22">
        <v>2035</v>
      </c>
    </row>
    <row r="6" spans="2:33" x14ac:dyDescent="0.2">
      <c r="H6" s="72" t="s">
        <v>434</v>
      </c>
      <c r="AD6" s="150">
        <f t="shared" ref="AD6:AD58" si="0">ROW(A1)</f>
        <v>1</v>
      </c>
      <c r="AE6" s="52" t="s">
        <v>308</v>
      </c>
      <c r="AF6" s="52" t="s">
        <v>309</v>
      </c>
    </row>
    <row r="7" spans="2:33" s="9" customFormat="1" outlineLevel="1" x14ac:dyDescent="0.2">
      <c r="B7" s="99"/>
      <c r="C7" s="100"/>
      <c r="D7" s="101"/>
      <c r="G7" s="21"/>
      <c r="H7" s="102"/>
      <c r="I7" s="106" t="s">
        <v>310</v>
      </c>
      <c r="J7" s="83"/>
      <c r="K7" s="82"/>
      <c r="L7" s="83"/>
      <c r="M7" s="83"/>
      <c r="N7" s="83"/>
      <c r="O7" s="83"/>
      <c r="P7" s="83"/>
      <c r="Q7" s="83"/>
      <c r="R7" s="83"/>
      <c r="S7" s="83"/>
      <c r="T7" s="83"/>
      <c r="U7" s="83"/>
      <c r="V7" s="83"/>
      <c r="W7" s="83"/>
      <c r="X7" s="83"/>
      <c r="Y7" s="83"/>
      <c r="Z7" s="83"/>
      <c r="AA7" s="83"/>
      <c r="AB7" s="21"/>
      <c r="AC7" s="21"/>
      <c r="AD7" s="150">
        <f t="shared" si="0"/>
        <v>2</v>
      </c>
      <c r="AE7" s="21"/>
      <c r="AF7" s="21"/>
      <c r="AG7" s="21"/>
    </row>
    <row r="8" spans="2:33" s="9" customFormat="1" outlineLevel="1" x14ac:dyDescent="0.2">
      <c r="B8" s="99"/>
      <c r="C8" s="100"/>
      <c r="D8" s="101"/>
      <c r="G8" s="21"/>
      <c r="H8" s="102"/>
      <c r="I8" s="83"/>
      <c r="J8" s="107" t="s">
        <v>324</v>
      </c>
      <c r="K8" s="82"/>
      <c r="L8" s="83"/>
      <c r="M8" s="83"/>
      <c r="N8" s="83"/>
      <c r="O8" s="83"/>
      <c r="P8" s="83"/>
      <c r="Q8" s="83"/>
      <c r="R8" s="83"/>
      <c r="S8" s="83"/>
      <c r="T8" s="83"/>
      <c r="U8" s="83"/>
      <c r="V8" s="83"/>
      <c r="W8" s="83"/>
      <c r="X8" s="83"/>
      <c r="Y8" s="83"/>
      <c r="Z8" s="83"/>
      <c r="AA8" s="83"/>
      <c r="AB8" s="21"/>
      <c r="AC8" s="21"/>
      <c r="AD8" s="150">
        <f t="shared" si="0"/>
        <v>3</v>
      </c>
      <c r="AE8" s="21"/>
      <c r="AF8" s="21"/>
      <c r="AG8" s="21"/>
    </row>
    <row r="9" spans="2:33" s="9" customFormat="1" outlineLevel="1" x14ac:dyDescent="0.2">
      <c r="B9" s="99"/>
      <c r="C9" s="100"/>
      <c r="D9" s="101"/>
      <c r="G9" s="21"/>
      <c r="H9" s="102"/>
      <c r="I9" s="83"/>
      <c r="J9" s="83"/>
      <c r="K9" s="82" t="s">
        <v>435</v>
      </c>
      <c r="L9" s="83"/>
      <c r="M9" s="83"/>
      <c r="N9" s="111">
        <f>AVERAGE(0.31,0.35)</f>
        <v>0.32999999999999996</v>
      </c>
      <c r="O9" s="83"/>
      <c r="P9" s="83"/>
      <c r="Q9" s="83"/>
      <c r="R9" s="83"/>
      <c r="S9" s="83"/>
      <c r="T9" s="83"/>
      <c r="U9" s="83"/>
      <c r="V9" s="83"/>
      <c r="W9" s="83"/>
      <c r="X9" s="83"/>
      <c r="Y9" s="83"/>
      <c r="Z9" s="83"/>
      <c r="AA9" s="83"/>
      <c r="AB9" s="21"/>
      <c r="AC9" s="21"/>
      <c r="AD9" s="150">
        <f t="shared" si="0"/>
        <v>4</v>
      </c>
      <c r="AE9" s="21" t="s">
        <v>436</v>
      </c>
      <c r="AF9" s="21"/>
      <c r="AG9" s="21"/>
    </row>
    <row r="10" spans="2:33" s="9" customFormat="1" outlineLevel="1" x14ac:dyDescent="0.2">
      <c r="B10" s="99"/>
      <c r="C10" s="100"/>
      <c r="D10" s="101"/>
      <c r="G10" s="21"/>
      <c r="H10" s="102"/>
      <c r="I10" s="83"/>
      <c r="J10" s="83"/>
      <c r="K10" s="82" t="s">
        <v>437</v>
      </c>
      <c r="L10" s="83"/>
      <c r="M10" s="83"/>
      <c r="N10" s="111">
        <f>N9*INDEX(US.CPI,MATCH(2022,CPI.years,0))/INDEX(US.CPI,MATCH(2021,CPI.years,0))</f>
        <v>0.3320701659118846</v>
      </c>
      <c r="O10" s="83"/>
      <c r="P10" s="83"/>
      <c r="Q10" s="83"/>
      <c r="R10" s="83"/>
      <c r="S10" s="83"/>
      <c r="T10" s="83"/>
      <c r="U10" s="83"/>
      <c r="V10" s="83"/>
      <c r="W10" s="83"/>
      <c r="X10" s="83"/>
      <c r="Y10" s="83"/>
      <c r="Z10" s="83"/>
      <c r="AA10" s="83"/>
      <c r="AB10" s="21"/>
      <c r="AC10" s="21"/>
      <c r="AD10" s="150">
        <f t="shared" si="0"/>
        <v>5</v>
      </c>
      <c r="AE10" s="21"/>
      <c r="AF10" s="21"/>
      <c r="AG10" s="21"/>
    </row>
    <row r="11" spans="2:33" s="9" customFormat="1" outlineLevel="1" x14ac:dyDescent="0.2">
      <c r="B11" s="99"/>
      <c r="C11" s="100"/>
      <c r="D11" s="101"/>
      <c r="G11" s="21"/>
      <c r="H11" s="102"/>
      <c r="I11" s="83"/>
      <c r="J11" s="107" t="s">
        <v>438</v>
      </c>
      <c r="K11" s="82"/>
      <c r="L11" s="83"/>
      <c r="M11" s="82"/>
      <c r="N11" s="82"/>
      <c r="O11" s="83"/>
      <c r="P11" s="82"/>
      <c r="Q11" s="83"/>
      <c r="R11" s="82"/>
      <c r="S11" s="83"/>
      <c r="T11" s="83"/>
      <c r="U11" s="82"/>
      <c r="V11" s="82"/>
      <c r="W11" s="83"/>
      <c r="X11" s="82"/>
      <c r="Y11" s="83"/>
      <c r="Z11" s="83"/>
      <c r="AA11" s="83"/>
      <c r="AB11" s="21"/>
      <c r="AC11" s="21"/>
      <c r="AD11" s="150">
        <f t="shared" si="0"/>
        <v>6</v>
      </c>
      <c r="AE11" s="21"/>
      <c r="AF11" s="21"/>
      <c r="AG11" s="21"/>
    </row>
    <row r="12" spans="2:33" s="9" customFormat="1" outlineLevel="1" x14ac:dyDescent="0.2">
      <c r="B12" s="99"/>
      <c r="C12" s="100"/>
      <c r="D12" s="101"/>
      <c r="G12" s="21"/>
      <c r="H12" s="102"/>
      <c r="I12" s="83"/>
      <c r="J12" s="83"/>
      <c r="K12" s="82" t="s">
        <v>439</v>
      </c>
      <c r="L12" s="83"/>
      <c r="M12" s="87">
        <v>0.37</v>
      </c>
      <c r="N12" s="87">
        <v>0.34</v>
      </c>
      <c r="O12" s="83"/>
      <c r="P12" s="87">
        <v>0.28999999999999998</v>
      </c>
      <c r="Q12" s="83"/>
      <c r="R12" s="87">
        <v>0.27</v>
      </c>
      <c r="S12" s="83"/>
      <c r="T12" s="83"/>
      <c r="U12" s="87">
        <v>0.24</v>
      </c>
      <c r="V12" s="87"/>
      <c r="W12" s="83"/>
      <c r="X12" s="87">
        <v>0.19</v>
      </c>
      <c r="Y12" s="83"/>
      <c r="Z12" s="83"/>
      <c r="AA12" s="83"/>
      <c r="AB12" s="21"/>
      <c r="AC12" s="21"/>
      <c r="AD12" s="150">
        <f t="shared" si="0"/>
        <v>7</v>
      </c>
      <c r="AE12" s="21"/>
      <c r="AF12" s="21"/>
      <c r="AG12" s="21"/>
    </row>
    <row r="13" spans="2:33" s="9" customFormat="1" outlineLevel="1" x14ac:dyDescent="0.2">
      <c r="B13" s="99"/>
      <c r="C13" s="100"/>
      <c r="D13" s="101"/>
      <c r="G13" s="21"/>
      <c r="H13" s="102"/>
      <c r="I13" s="83"/>
      <c r="J13" s="83"/>
      <c r="K13" s="82" t="str">
        <f>"Proportional Cost Declines (Based on NREL) - Row "&amp;AD10</f>
        <v>Proportional Cost Declines (Based on NREL) - Row 5</v>
      </c>
      <c r="L13" s="83"/>
      <c r="M13" s="86"/>
      <c r="N13" s="111">
        <f>N12*$N$10/$M$12</f>
        <v>0.30514555786497505</v>
      </c>
      <c r="O13" s="111"/>
      <c r="P13" s="111">
        <f>P12*$N$10/$M$12</f>
        <v>0.26027121112012574</v>
      </c>
      <c r="Q13" s="111"/>
      <c r="R13" s="111">
        <f>R12*$N$10/$M$12</f>
        <v>0.2423214724221861</v>
      </c>
      <c r="S13" s="111"/>
      <c r="T13" s="111"/>
      <c r="U13" s="111">
        <f>U12*$N$10/$M$12</f>
        <v>0.21539686437527647</v>
      </c>
      <c r="V13" s="111"/>
      <c r="W13" s="111"/>
      <c r="X13" s="111">
        <f>X12*$N$10/$M$12</f>
        <v>0.17052251763042725</v>
      </c>
      <c r="Y13" s="83"/>
      <c r="Z13" s="83"/>
      <c r="AA13" s="83"/>
      <c r="AB13" s="21"/>
      <c r="AC13" s="21"/>
      <c r="AD13" s="150">
        <f t="shared" si="0"/>
        <v>8</v>
      </c>
      <c r="AE13" s="21"/>
      <c r="AF13" s="21"/>
      <c r="AG13" s="21"/>
    </row>
    <row r="14" spans="2:33" s="9" customFormat="1" outlineLevel="1" x14ac:dyDescent="0.2">
      <c r="B14" s="99"/>
      <c r="C14" s="100"/>
      <c r="D14" s="101"/>
      <c r="G14" s="21"/>
      <c r="H14" s="102"/>
      <c r="I14" s="83"/>
      <c r="J14" s="107" t="s">
        <v>440</v>
      </c>
      <c r="K14" s="82"/>
      <c r="L14" s="83"/>
      <c r="M14" s="87"/>
      <c r="N14" s="111"/>
      <c r="O14" s="111"/>
      <c r="P14" s="111"/>
      <c r="Q14" s="111"/>
      <c r="R14" s="111"/>
      <c r="S14" s="111"/>
      <c r="T14" s="111"/>
      <c r="U14" s="111"/>
      <c r="V14" s="111"/>
      <c r="W14" s="111"/>
      <c r="X14" s="111"/>
      <c r="Y14" s="83"/>
      <c r="Z14" s="83"/>
      <c r="AA14" s="83"/>
      <c r="AB14" s="21"/>
      <c r="AC14" s="21"/>
      <c r="AD14" s="150">
        <f t="shared" si="0"/>
        <v>9</v>
      </c>
      <c r="AE14" s="21"/>
      <c r="AF14" s="21"/>
      <c r="AG14" s="21"/>
    </row>
    <row r="15" spans="2:33" s="9" customFormat="1" outlineLevel="1" x14ac:dyDescent="0.2">
      <c r="B15" s="99"/>
      <c r="C15" s="100"/>
      <c r="D15" s="101"/>
      <c r="G15" s="21"/>
      <c r="H15" s="102"/>
      <c r="I15" s="83"/>
      <c r="J15" s="107"/>
      <c r="K15" s="82" t="s">
        <v>441</v>
      </c>
      <c r="L15" s="83"/>
      <c r="M15" s="87"/>
      <c r="N15" s="87"/>
      <c r="O15" s="83"/>
      <c r="P15" s="87"/>
      <c r="Q15" s="111">
        <v>0.18</v>
      </c>
      <c r="R15" s="87"/>
      <c r="S15" s="83"/>
      <c r="T15" s="83"/>
      <c r="U15" s="87"/>
      <c r="V15" s="87"/>
      <c r="W15" s="83"/>
      <c r="X15" s="87"/>
      <c r="Y15" s="83"/>
      <c r="Z15" s="83"/>
      <c r="AA15" s="83"/>
      <c r="AB15" s="21"/>
      <c r="AC15" s="21"/>
      <c r="AD15" s="150">
        <f t="shared" si="0"/>
        <v>10</v>
      </c>
      <c r="AE15" s="21"/>
      <c r="AF15" s="21"/>
      <c r="AG15" s="21"/>
    </row>
    <row r="16" spans="2:33" s="9" customFormat="1" outlineLevel="1" x14ac:dyDescent="0.2">
      <c r="B16" s="99"/>
      <c r="C16" s="100"/>
      <c r="D16" s="101"/>
      <c r="G16" s="21"/>
      <c r="H16" s="102"/>
      <c r="I16" s="83"/>
      <c r="J16" s="107"/>
      <c r="K16" s="82" t="s">
        <v>442</v>
      </c>
      <c r="L16" s="83"/>
      <c r="M16" s="87"/>
      <c r="N16" s="87"/>
      <c r="O16" s="83"/>
      <c r="P16" s="87"/>
      <c r="Q16" s="111">
        <f>Q15*INDEX(US.CPI,MATCH(2022,CPI.years,0))/INDEX(US.CPI,MATCH(2018,CPI.years,0))</f>
        <v>0.19545681436883311</v>
      </c>
      <c r="R16" s="87"/>
      <c r="S16" s="83"/>
      <c r="T16" s="83"/>
      <c r="U16" s="87"/>
      <c r="V16" s="87"/>
      <c r="W16" s="83"/>
      <c r="X16" s="87"/>
      <c r="Y16" s="83"/>
      <c r="Z16" s="83"/>
      <c r="AA16" s="83"/>
      <c r="AB16" s="21"/>
      <c r="AC16" s="21"/>
      <c r="AD16" s="150">
        <f t="shared" si="0"/>
        <v>11</v>
      </c>
      <c r="AE16" s="21"/>
      <c r="AF16" s="21"/>
      <c r="AG16" s="21"/>
    </row>
    <row r="17" spans="2:33" s="9" customFormat="1" outlineLevel="1" x14ac:dyDescent="0.2">
      <c r="B17" s="99"/>
      <c r="C17" s="100"/>
      <c r="D17" s="101"/>
      <c r="G17" s="21"/>
      <c r="H17" s="102"/>
      <c r="I17" s="83"/>
      <c r="J17" s="107" t="s">
        <v>443</v>
      </c>
      <c r="K17" s="82"/>
      <c r="L17" s="83"/>
      <c r="M17" s="87"/>
      <c r="N17" s="87"/>
      <c r="O17" s="83"/>
      <c r="P17" s="87"/>
      <c r="Q17" s="83"/>
      <c r="R17" s="87"/>
      <c r="S17" s="83"/>
      <c r="T17" s="83"/>
      <c r="U17" s="87"/>
      <c r="V17" s="87"/>
      <c r="W17" s="83"/>
      <c r="X17" s="87"/>
      <c r="Y17" s="83"/>
      <c r="Z17" s="83"/>
      <c r="AA17" s="83"/>
      <c r="AB17" s="21"/>
      <c r="AC17" s="21"/>
      <c r="AD17" s="150">
        <f t="shared" si="0"/>
        <v>12</v>
      </c>
      <c r="AE17" s="21"/>
      <c r="AF17" s="21"/>
      <c r="AG17" s="21"/>
    </row>
    <row r="18" spans="2:33" s="9" customFormat="1" outlineLevel="1" x14ac:dyDescent="0.2">
      <c r="B18" s="99"/>
      <c r="C18" s="100"/>
      <c r="D18" s="101"/>
      <c r="G18" s="21"/>
      <c r="H18" s="102"/>
      <c r="I18" s="83"/>
      <c r="J18" s="107"/>
      <c r="K18" s="82" t="s">
        <v>444</v>
      </c>
      <c r="L18" s="88" t="s">
        <v>445</v>
      </c>
      <c r="M18" s="111">
        <v>340.85585585585602</v>
      </c>
      <c r="N18" s="87"/>
      <c r="O18" s="83"/>
      <c r="P18" s="87"/>
      <c r="Q18" s="83"/>
      <c r="R18" s="87"/>
      <c r="S18" s="83"/>
      <c r="T18" s="83"/>
      <c r="U18" s="87"/>
      <c r="V18" s="87"/>
      <c r="W18" s="83"/>
      <c r="X18" s="87"/>
      <c r="Y18" s="83"/>
      <c r="Z18" s="83"/>
      <c r="AA18" s="83"/>
      <c r="AB18" s="21"/>
      <c r="AC18" s="21"/>
      <c r="AD18" s="150">
        <f t="shared" si="0"/>
        <v>13</v>
      </c>
      <c r="AE18" s="21"/>
      <c r="AF18" s="21"/>
      <c r="AG18" s="21"/>
    </row>
    <row r="19" spans="2:33" s="9" customFormat="1" outlineLevel="1" x14ac:dyDescent="0.2">
      <c r="B19" s="99"/>
      <c r="C19" s="100"/>
      <c r="D19" s="101"/>
      <c r="G19" s="21"/>
      <c r="H19" s="102"/>
      <c r="I19" s="83"/>
      <c r="J19" s="107"/>
      <c r="K19" s="82"/>
      <c r="L19" s="88" t="s">
        <v>446</v>
      </c>
      <c r="M19" s="111">
        <v>391.30630630630696</v>
      </c>
      <c r="N19" s="87"/>
      <c r="O19" s="83"/>
      <c r="P19" s="87"/>
      <c r="Q19" s="83"/>
      <c r="R19" s="87"/>
      <c r="S19" s="83"/>
      <c r="T19" s="83"/>
      <c r="U19" s="87"/>
      <c r="V19" s="87"/>
      <c r="W19" s="83"/>
      <c r="X19" s="87"/>
      <c r="Y19" s="83"/>
      <c r="Z19" s="83"/>
      <c r="AA19" s="83"/>
      <c r="AB19" s="21"/>
      <c r="AC19" s="21"/>
      <c r="AD19" s="150">
        <f t="shared" si="0"/>
        <v>14</v>
      </c>
      <c r="AE19" s="21"/>
      <c r="AF19" s="21"/>
      <c r="AG19" s="21"/>
    </row>
    <row r="20" spans="2:33" s="9" customFormat="1" outlineLevel="1" x14ac:dyDescent="0.2">
      <c r="B20" s="99"/>
      <c r="C20" s="100"/>
      <c r="D20" s="101"/>
      <c r="G20" s="21"/>
      <c r="H20" s="102"/>
      <c r="I20" s="83"/>
      <c r="J20" s="107"/>
      <c r="K20" s="82"/>
      <c r="L20" s="88" t="s">
        <v>447</v>
      </c>
      <c r="M20" s="90">
        <f>M19/M18</f>
        <v>1.1480111008325637</v>
      </c>
      <c r="N20" s="87"/>
      <c r="O20" s="83"/>
      <c r="P20" s="87"/>
      <c r="Q20" s="83"/>
      <c r="R20" s="87"/>
      <c r="S20" s="83"/>
      <c r="T20" s="83"/>
      <c r="U20" s="87"/>
      <c r="V20" s="87"/>
      <c r="W20" s="83"/>
      <c r="X20" s="87"/>
      <c r="Y20" s="83"/>
      <c r="Z20" s="83"/>
      <c r="AA20" s="83"/>
      <c r="AB20" s="21"/>
      <c r="AC20" s="21"/>
      <c r="AD20" s="150">
        <f t="shared" si="0"/>
        <v>15</v>
      </c>
      <c r="AE20" s="21"/>
      <c r="AF20" s="21"/>
      <c r="AG20" s="21"/>
    </row>
    <row r="21" spans="2:33" s="9" customFormat="1" outlineLevel="1" x14ac:dyDescent="0.2">
      <c r="B21" s="99"/>
      <c r="C21" s="100"/>
      <c r="D21" s="101"/>
      <c r="G21" s="21"/>
      <c r="H21" s="102"/>
      <c r="I21" s="106" t="s">
        <v>448</v>
      </c>
      <c r="J21" s="107"/>
      <c r="K21" s="82"/>
      <c r="L21" s="83"/>
      <c r="M21" s="87"/>
      <c r="N21" s="87"/>
      <c r="O21" s="83"/>
      <c r="P21" s="87"/>
      <c r="Q21" s="83"/>
      <c r="R21" s="87"/>
      <c r="S21" s="83"/>
      <c r="T21" s="83"/>
      <c r="U21" s="87"/>
      <c r="V21" s="87"/>
      <c r="W21" s="83"/>
      <c r="X21" s="87"/>
      <c r="Y21" s="83"/>
      <c r="Z21" s="83"/>
      <c r="AA21" s="83"/>
      <c r="AB21" s="21"/>
      <c r="AC21" s="21"/>
      <c r="AD21" s="150">
        <f t="shared" si="0"/>
        <v>16</v>
      </c>
      <c r="AE21" s="21"/>
      <c r="AF21" s="21"/>
      <c r="AG21" s="21"/>
    </row>
    <row r="22" spans="2:33" s="9" customFormat="1" outlineLevel="1" x14ac:dyDescent="0.2">
      <c r="B22" s="99"/>
      <c r="C22" s="100"/>
      <c r="D22" s="101"/>
      <c r="G22" s="21"/>
      <c r="H22" s="102"/>
      <c r="I22" s="83"/>
      <c r="J22" s="107"/>
      <c r="K22" s="82" t="s">
        <v>348</v>
      </c>
      <c r="L22" s="83"/>
      <c r="M22" s="83"/>
      <c r="N22" s="111">
        <f>N10</f>
        <v>0.3320701659118846</v>
      </c>
      <c r="O22" s="111"/>
      <c r="P22" s="111"/>
      <c r="Q22" s="111"/>
      <c r="R22" s="111"/>
      <c r="S22" s="111"/>
      <c r="T22" s="111"/>
      <c r="U22" s="111"/>
      <c r="V22" s="111"/>
      <c r="W22" s="111"/>
      <c r="X22" s="111"/>
      <c r="Y22" s="111"/>
      <c r="Z22" s="111"/>
      <c r="AA22" s="111"/>
      <c r="AB22" s="21"/>
      <c r="AC22" s="21"/>
      <c r="AD22" s="150">
        <f t="shared" si="0"/>
        <v>17</v>
      </c>
      <c r="AE22" s="21"/>
      <c r="AF22" s="21"/>
      <c r="AG22" s="21"/>
    </row>
    <row r="23" spans="2:33" s="9" customFormat="1" outlineLevel="1" x14ac:dyDescent="0.2">
      <c r="B23" s="99"/>
      <c r="C23" s="100"/>
      <c r="D23" s="101"/>
      <c r="G23" s="21"/>
      <c r="H23" s="102"/>
      <c r="I23" s="83"/>
      <c r="J23" s="107"/>
      <c r="K23" s="82" t="s">
        <v>449</v>
      </c>
      <c r="L23" s="83"/>
      <c r="M23" s="86"/>
      <c r="N23" s="111">
        <f>N13</f>
        <v>0.30514555786497505</v>
      </c>
      <c r="O23" s="111"/>
      <c r="P23" s="111">
        <f>P13</f>
        <v>0.26027121112012574</v>
      </c>
      <c r="Q23" s="111"/>
      <c r="R23" s="111">
        <f>R13</f>
        <v>0.2423214724221861</v>
      </c>
      <c r="S23" s="111"/>
      <c r="T23" s="111"/>
      <c r="U23" s="111">
        <f>U13</f>
        <v>0.21539686437527647</v>
      </c>
      <c r="V23" s="111"/>
      <c r="W23" s="111"/>
      <c r="X23" s="111">
        <f>X13</f>
        <v>0.17052251763042725</v>
      </c>
      <c r="Y23" s="111"/>
      <c r="Z23" s="111"/>
      <c r="AA23" s="111"/>
      <c r="AB23" s="21"/>
      <c r="AC23" s="21"/>
      <c r="AD23" s="150">
        <f t="shared" si="0"/>
        <v>18</v>
      </c>
      <c r="AE23" s="21"/>
      <c r="AF23" s="21"/>
      <c r="AG23" s="21"/>
    </row>
    <row r="24" spans="2:33" s="9" customFormat="1" outlineLevel="1" x14ac:dyDescent="0.2">
      <c r="B24" s="99"/>
      <c r="C24" s="100"/>
      <c r="D24" s="101"/>
      <c r="G24" s="21"/>
      <c r="H24" s="102"/>
      <c r="I24" s="83"/>
      <c r="J24" s="107"/>
      <c r="K24" s="82" t="s">
        <v>450</v>
      </c>
      <c r="L24" s="83"/>
      <c r="M24" s="86"/>
      <c r="N24" s="111"/>
      <c r="O24" s="111"/>
      <c r="P24" s="111"/>
      <c r="Q24" s="111">
        <f>Q16</f>
        <v>0.19545681436883311</v>
      </c>
      <c r="R24" s="111"/>
      <c r="S24" s="111"/>
      <c r="T24" s="111"/>
      <c r="U24" s="111"/>
      <c r="V24" s="111"/>
      <c r="W24" s="111"/>
      <c r="X24" s="111"/>
      <c r="Y24" s="111"/>
      <c r="Z24" s="111"/>
      <c r="AA24" s="111"/>
      <c r="AB24" s="21"/>
      <c r="AC24" s="21"/>
      <c r="AD24" s="150">
        <f t="shared" si="0"/>
        <v>19</v>
      </c>
      <c r="AE24" s="21"/>
      <c r="AF24" s="21"/>
      <c r="AG24" s="21"/>
    </row>
    <row r="25" spans="2:33" s="9" customFormat="1" outlineLevel="1" x14ac:dyDescent="0.2">
      <c r="B25" s="99"/>
      <c r="C25" s="100"/>
      <c r="D25" s="101"/>
      <c r="G25" s="21"/>
      <c r="H25" s="102"/>
      <c r="I25" s="83"/>
      <c r="J25" s="107"/>
      <c r="K25" s="82"/>
      <c r="L25" s="83"/>
      <c r="M25" s="86"/>
      <c r="N25" s="111"/>
      <c r="O25" s="111"/>
      <c r="P25" s="111"/>
      <c r="Q25" s="111"/>
      <c r="R25" s="111"/>
      <c r="S25" s="111"/>
      <c r="T25" s="111"/>
      <c r="U25" s="111"/>
      <c r="V25" s="111"/>
      <c r="W25" s="111"/>
      <c r="X25" s="111"/>
      <c r="Y25" s="111"/>
      <c r="Z25" s="111"/>
      <c r="AA25" s="111"/>
      <c r="AB25" s="21"/>
      <c r="AC25" s="21"/>
      <c r="AD25" s="150">
        <f t="shared" si="0"/>
        <v>20</v>
      </c>
      <c r="AE25" s="21"/>
      <c r="AF25" s="21"/>
      <c r="AG25" s="21"/>
    </row>
    <row r="26" spans="2:33" s="9" customFormat="1" outlineLevel="1" x14ac:dyDescent="0.2">
      <c r="B26" s="99"/>
      <c r="C26" s="100"/>
      <c r="D26" s="101"/>
      <c r="G26" s="21"/>
      <c r="H26" s="102"/>
      <c r="I26" s="106" t="s">
        <v>350</v>
      </c>
      <c r="J26" s="107"/>
      <c r="K26" s="82"/>
      <c r="L26" s="83"/>
      <c r="M26" s="86"/>
      <c r="N26" s="111"/>
      <c r="O26" s="111"/>
      <c r="P26" s="111"/>
      <c r="Q26" s="111"/>
      <c r="R26" s="111"/>
      <c r="S26" s="111"/>
      <c r="T26" s="111"/>
      <c r="U26" s="111"/>
      <c r="V26" s="111"/>
      <c r="W26" s="111"/>
      <c r="X26" s="111"/>
      <c r="Y26" s="111"/>
      <c r="Z26" s="111"/>
      <c r="AA26" s="111"/>
      <c r="AB26" s="21"/>
      <c r="AC26" s="21"/>
      <c r="AD26" s="150">
        <f t="shared" si="0"/>
        <v>21</v>
      </c>
      <c r="AE26" s="21"/>
      <c r="AF26" s="21"/>
      <c r="AG26" s="21"/>
    </row>
    <row r="27" spans="2:33" s="9" customFormat="1" outlineLevel="1" x14ac:dyDescent="0.2">
      <c r="B27" s="99"/>
      <c r="C27" s="100"/>
      <c r="D27" s="101"/>
      <c r="G27" s="21"/>
      <c r="H27" s="102"/>
      <c r="I27" s="106"/>
      <c r="J27" s="107" t="s">
        <v>451</v>
      </c>
      <c r="K27" s="82"/>
      <c r="L27" s="83"/>
      <c r="M27" s="86"/>
      <c r="N27" s="111"/>
      <c r="O27" s="111"/>
      <c r="P27" s="111"/>
      <c r="Q27" s="111"/>
      <c r="R27" s="111"/>
      <c r="S27" s="111"/>
      <c r="T27" s="111"/>
      <c r="U27" s="111"/>
      <c r="V27" s="111"/>
      <c r="W27" s="111"/>
      <c r="X27" s="111"/>
      <c r="Y27" s="111"/>
      <c r="Z27" s="111"/>
      <c r="AA27" s="111"/>
      <c r="AB27" s="21"/>
      <c r="AC27" s="21"/>
      <c r="AD27" s="150">
        <f t="shared" si="0"/>
        <v>22</v>
      </c>
      <c r="AE27" s="21"/>
      <c r="AF27" s="21"/>
      <c r="AG27" s="21"/>
    </row>
    <row r="28" spans="2:33" s="9" customFormat="1" outlineLevel="1" x14ac:dyDescent="0.2">
      <c r="B28" s="99"/>
      <c r="C28" s="100"/>
      <c r="D28" s="101"/>
      <c r="G28" s="21"/>
      <c r="H28" s="102"/>
      <c r="I28" s="106"/>
      <c r="J28" s="107"/>
      <c r="K28" s="82" t="s">
        <v>352</v>
      </c>
      <c r="L28" s="83"/>
      <c r="M28" s="86"/>
      <c r="N28" s="111">
        <v>0.49220000000000003</v>
      </c>
      <c r="O28" s="111"/>
      <c r="P28" s="111"/>
      <c r="Q28" s="111"/>
      <c r="R28" s="111"/>
      <c r="S28" s="111"/>
      <c r="T28" s="111"/>
      <c r="U28" s="111"/>
      <c r="V28" s="111"/>
      <c r="W28" s="111"/>
      <c r="X28" s="111"/>
      <c r="Y28" s="111"/>
      <c r="Z28" s="111"/>
      <c r="AA28" s="111"/>
      <c r="AB28" s="21"/>
      <c r="AC28" s="21"/>
      <c r="AD28" s="150">
        <f t="shared" si="0"/>
        <v>23</v>
      </c>
      <c r="AE28" s="21"/>
      <c r="AF28" s="21"/>
      <c r="AG28" s="21"/>
    </row>
    <row r="29" spans="2:33" s="9" customFormat="1" outlineLevel="1" x14ac:dyDescent="0.2">
      <c r="B29" s="99"/>
      <c r="C29" s="100"/>
      <c r="D29" s="101"/>
      <c r="G29" s="21"/>
      <c r="H29" s="102"/>
      <c r="I29" s="106"/>
      <c r="J29" s="107"/>
      <c r="K29" s="88" t="s">
        <v>452</v>
      </c>
      <c r="L29" s="83"/>
      <c r="M29" s="86"/>
      <c r="N29" s="134">
        <f>AVERAGE(N28:N28)</f>
        <v>0.49220000000000003</v>
      </c>
      <c r="O29" s="111"/>
      <c r="P29" s="111"/>
      <c r="Q29" s="111"/>
      <c r="R29" s="111"/>
      <c r="S29" s="111"/>
      <c r="T29" s="111"/>
      <c r="U29" s="111"/>
      <c r="V29" s="111"/>
      <c r="W29" s="111"/>
      <c r="X29" s="111"/>
      <c r="Y29" s="111"/>
      <c r="Z29" s="111"/>
      <c r="AA29" s="111"/>
      <c r="AB29" s="21"/>
      <c r="AC29" s="21"/>
      <c r="AD29" s="150">
        <f>ROW(A27)</f>
        <v>27</v>
      </c>
      <c r="AE29" s="21"/>
      <c r="AF29" s="21"/>
      <c r="AG29" s="21"/>
    </row>
    <row r="30" spans="2:33" s="9" customFormat="1" outlineLevel="1" x14ac:dyDescent="0.2">
      <c r="B30" s="99"/>
      <c r="C30" s="100"/>
      <c r="D30" s="101"/>
      <c r="G30" s="21"/>
      <c r="H30" s="102"/>
      <c r="I30" s="83"/>
      <c r="J30" s="107" t="s">
        <v>453</v>
      </c>
      <c r="K30" s="82"/>
      <c r="L30" s="83"/>
      <c r="M30" s="86"/>
      <c r="N30" s="111"/>
      <c r="O30" s="111"/>
      <c r="P30" s="111"/>
      <c r="Q30" s="111"/>
      <c r="R30" s="111"/>
      <c r="S30" s="111"/>
      <c r="T30" s="111"/>
      <c r="U30" s="111"/>
      <c r="V30" s="111"/>
      <c r="W30" s="111"/>
      <c r="X30" s="111"/>
      <c r="Y30" s="111"/>
      <c r="Z30" s="111"/>
      <c r="AA30" s="111"/>
      <c r="AB30" s="21"/>
      <c r="AC30" s="21"/>
      <c r="AD30" s="150">
        <f>ROW(A28)</f>
        <v>28</v>
      </c>
      <c r="AE30" s="21"/>
      <c r="AF30" s="21"/>
      <c r="AG30" s="21"/>
    </row>
    <row r="31" spans="2:33" s="9" customFormat="1" outlineLevel="1" x14ac:dyDescent="0.2">
      <c r="B31" s="99"/>
      <c r="C31" s="100"/>
      <c r="D31" s="101"/>
      <c r="G31" s="21"/>
      <c r="H31" s="102"/>
      <c r="I31" s="83"/>
      <c r="J31" s="107"/>
      <c r="K31" s="82" t="s">
        <v>352</v>
      </c>
      <c r="L31" s="83"/>
      <c r="M31" s="86"/>
      <c r="N31" s="111">
        <v>0.46</v>
      </c>
      <c r="O31" s="111"/>
      <c r="P31" s="111"/>
      <c r="Q31" s="111"/>
      <c r="R31" s="111"/>
      <c r="S31" s="111"/>
      <c r="T31" s="111"/>
      <c r="U31" s="111"/>
      <c r="V31" s="111"/>
      <c r="W31" s="111"/>
      <c r="X31" s="111"/>
      <c r="Y31" s="111"/>
      <c r="Z31" s="111"/>
      <c r="AA31" s="111"/>
      <c r="AB31" s="21"/>
      <c r="AC31" s="21"/>
      <c r="AD31" s="150" t="e">
        <f>ROW(#REF!)</f>
        <v>#REF!</v>
      </c>
      <c r="AE31" s="21"/>
      <c r="AF31" s="21"/>
      <c r="AG31" s="21"/>
    </row>
    <row r="32" spans="2:33" outlineLevel="1" x14ac:dyDescent="0.2">
      <c r="I32" s="83"/>
      <c r="J32" s="107"/>
      <c r="K32" s="88" t="s">
        <v>454</v>
      </c>
      <c r="L32" s="83"/>
      <c r="M32" s="86"/>
      <c r="N32" s="134">
        <f>AVERAGE(N31:N31)</f>
        <v>0.46</v>
      </c>
      <c r="O32" s="111"/>
      <c r="P32" s="111"/>
      <c r="Q32" s="111"/>
      <c r="R32" s="111"/>
      <c r="S32" s="111"/>
      <c r="T32" s="111"/>
      <c r="U32" s="111"/>
      <c r="V32" s="111"/>
      <c r="W32" s="111"/>
      <c r="X32" s="111"/>
      <c r="Y32" s="111"/>
      <c r="Z32" s="111"/>
      <c r="AA32" s="111"/>
      <c r="AD32" s="150">
        <f>ROW(A30)</f>
        <v>30</v>
      </c>
    </row>
    <row r="33" spans="2:33" outlineLevel="1" x14ac:dyDescent="0.2">
      <c r="G33"/>
      <c r="H33"/>
      <c r="I33" s="138"/>
      <c r="J33" s="138"/>
      <c r="K33" s="138"/>
      <c r="L33" s="139"/>
      <c r="M33" s="139"/>
      <c r="N33" s="139"/>
      <c r="O33" s="139"/>
      <c r="P33" s="139"/>
      <c r="Q33" s="139"/>
      <c r="R33" s="140"/>
      <c r="S33" s="140"/>
      <c r="T33" s="140"/>
      <c r="U33" s="140"/>
      <c r="V33" s="140"/>
      <c r="W33" s="140"/>
      <c r="X33" s="140"/>
      <c r="Y33" s="140"/>
      <c r="Z33" s="140"/>
      <c r="AA33" s="140"/>
      <c r="AD33" s="150">
        <f>ROW(A31)</f>
        <v>31</v>
      </c>
    </row>
    <row r="34" spans="2:33" s="9" customFormat="1" outlineLevel="1" x14ac:dyDescent="0.2">
      <c r="B34" s="99"/>
      <c r="C34" s="100"/>
      <c r="D34" s="101"/>
      <c r="G34" s="21"/>
      <c r="H34" s="102"/>
      <c r="I34" s="103" t="s">
        <v>355</v>
      </c>
      <c r="J34" s="104"/>
      <c r="K34" s="93"/>
      <c r="L34" s="94"/>
      <c r="M34" s="95"/>
      <c r="N34" s="98"/>
      <c r="O34" s="98"/>
      <c r="P34" s="98"/>
      <c r="Q34" s="98"/>
      <c r="R34" s="98"/>
      <c r="S34" s="98"/>
      <c r="T34" s="98"/>
      <c r="U34" s="98"/>
      <c r="V34" s="98"/>
      <c r="W34" s="98"/>
      <c r="X34" s="98"/>
      <c r="Y34" s="98"/>
      <c r="Z34" s="98"/>
      <c r="AA34" s="98"/>
      <c r="AB34" s="21"/>
      <c r="AC34" s="21"/>
      <c r="AD34" s="150" t="e">
        <f>ROW(#REF!)</f>
        <v>#REF!</v>
      </c>
      <c r="AE34" s="21"/>
      <c r="AF34" s="21"/>
      <c r="AG34" s="21"/>
    </row>
    <row r="35" spans="2:33" s="9" customFormat="1" outlineLevel="1" x14ac:dyDescent="0.2">
      <c r="B35" s="99"/>
      <c r="C35" s="100"/>
      <c r="D35" s="101"/>
      <c r="G35" s="21"/>
      <c r="H35" s="102"/>
      <c r="I35" s="94"/>
      <c r="J35" s="104"/>
      <c r="K35" s="103" t="s">
        <v>356</v>
      </c>
      <c r="L35" s="94"/>
      <c r="M35" s="95"/>
      <c r="N35" s="98">
        <f>AVERAGE(N22:N24)*USD_to_CAD*$M$20</f>
        <v>0.47549497093857951</v>
      </c>
      <c r="O35" s="98"/>
      <c r="P35" s="98">
        <f>AVERAGE(P22:P24)*USD_to_CAD*$M$20</f>
        <v>0.3884325114709522</v>
      </c>
      <c r="Q35" s="98">
        <f>AVERAGE(Q22:Q24)*USD_to_CAD*$M$20</f>
        <v>0.2917025704174272</v>
      </c>
      <c r="R35" s="98">
        <f>AVERAGE(R22:R24)*USD_to_CAD*$M$20</f>
        <v>0.36164406240399011</v>
      </c>
      <c r="S35" s="98"/>
      <c r="T35" s="98"/>
      <c r="U35" s="98">
        <f>AVERAGE(U22:U24)*USD_to_CAD*$M$20</f>
        <v>0.32146138880354669</v>
      </c>
      <c r="V35" s="98"/>
      <c r="W35" s="98"/>
      <c r="X35" s="98">
        <f>AVERAGE(X22:X24)*USD_to_CAD*$M$20</f>
        <v>0.25449026613614117</v>
      </c>
      <c r="Y35" s="98"/>
      <c r="Z35" s="98"/>
      <c r="AA35" s="98"/>
      <c r="AB35" s="21"/>
      <c r="AC35" s="21"/>
      <c r="AD35" s="150" t="e">
        <f>ROW(#REF!)</f>
        <v>#REF!</v>
      </c>
      <c r="AE35" s="21"/>
      <c r="AF35" s="21"/>
      <c r="AG35" s="21"/>
    </row>
    <row r="36" spans="2:33" s="9" customFormat="1" outlineLevel="1" x14ac:dyDescent="0.2">
      <c r="B36" s="99"/>
      <c r="C36" s="100"/>
      <c r="D36" s="101"/>
      <c r="G36" s="21"/>
      <c r="H36" s="102"/>
      <c r="I36" s="94"/>
      <c r="J36" s="94"/>
      <c r="K36" s="105" t="s">
        <v>357</v>
      </c>
      <c r="L36" s="94"/>
      <c r="M36" s="94"/>
      <c r="N36" s="98">
        <f t="shared" ref="N36:AA36" si="1">-0.082*LN(N4-2021)+0.4592</f>
        <v>0.4592</v>
      </c>
      <c r="O36" s="98">
        <f t="shared" si="1"/>
        <v>0.40236193119408448</v>
      </c>
      <c r="P36" s="98">
        <f t="shared" si="1"/>
        <v>0.36911379232921498</v>
      </c>
      <c r="Q36" s="98">
        <f t="shared" si="1"/>
        <v>0.34552386238816896</v>
      </c>
      <c r="R36" s="98">
        <f t="shared" si="1"/>
        <v>0.3272260911804038</v>
      </c>
      <c r="S36" s="98">
        <f t="shared" si="1"/>
        <v>0.31227572352329946</v>
      </c>
      <c r="T36" s="98">
        <f t="shared" si="1"/>
        <v>0.2996353677774643</v>
      </c>
      <c r="U36" s="98">
        <f t="shared" si="1"/>
        <v>0.28868579358225344</v>
      </c>
      <c r="V36" s="98">
        <f t="shared" si="1"/>
        <v>0.27902758465842997</v>
      </c>
      <c r="W36" s="98">
        <f t="shared" si="1"/>
        <v>0.27038802237448822</v>
      </c>
      <c r="X36" s="98">
        <f t="shared" si="1"/>
        <v>0.26257258763053359</v>
      </c>
      <c r="Y36" s="98">
        <f t="shared" si="1"/>
        <v>0.255437654717384</v>
      </c>
      <c r="Z36" s="98">
        <f t="shared" si="1"/>
        <v>0.24887415268815397</v>
      </c>
      <c r="AA36" s="98">
        <f t="shared" si="1"/>
        <v>0.24279729897154881</v>
      </c>
      <c r="AB36" s="21"/>
      <c r="AC36" s="21"/>
      <c r="AD36" s="150" t="e">
        <f>ROW(#REF!)</f>
        <v>#REF!</v>
      </c>
      <c r="AE36" s="21"/>
      <c r="AF36" s="21"/>
      <c r="AG36" s="21"/>
    </row>
    <row r="37" spans="2:33" s="9" customFormat="1" outlineLevel="1" x14ac:dyDescent="0.2">
      <c r="B37" s="99"/>
      <c r="C37" s="100"/>
      <c r="D37" s="101"/>
      <c r="G37" s="21"/>
      <c r="H37" s="102"/>
      <c r="I37" s="94"/>
      <c r="J37" s="94"/>
      <c r="K37" s="105" t="s">
        <v>358</v>
      </c>
      <c r="L37" s="94"/>
      <c r="M37" s="94"/>
      <c r="N37" s="98" cm="1">
        <f t="array" ref="N37:AA37">($N$29/$N$36)*forecast_solar.module.costs_CA</f>
        <v>0.49220000000000003</v>
      </c>
      <c r="O37" s="98">
        <v>0.43127731388007051</v>
      </c>
      <c r="P37" s="98">
        <v>0.39563982705670647</v>
      </c>
      <c r="Q37" s="98">
        <v>0.37035462776014105</v>
      </c>
      <c r="R37" s="98">
        <v>0.35074190348213147</v>
      </c>
      <c r="S37" s="98">
        <v>0.33471714093677701</v>
      </c>
      <c r="T37" s="98">
        <v>0.32116839725624552</v>
      </c>
      <c r="U37" s="98">
        <v>0.30943194164021154</v>
      </c>
      <c r="V37" s="98">
        <v>0.29907965411341297</v>
      </c>
      <c r="W37" s="98">
        <v>0.2898192173622019</v>
      </c>
      <c r="X37" s="98">
        <v>0.28144213334440032</v>
      </c>
      <c r="Y37" s="98">
        <v>0.27379445481684761</v>
      </c>
      <c r="Z37" s="98">
        <v>0.26675927254596993</v>
      </c>
      <c r="AA37" s="98">
        <v>0.26024571113631606</v>
      </c>
      <c r="AB37" s="21"/>
      <c r="AC37" s="21"/>
      <c r="AD37" s="150">
        <f t="shared" si="0"/>
        <v>32</v>
      </c>
      <c r="AE37" s="21"/>
      <c r="AF37" s="21"/>
      <c r="AG37" s="21"/>
    </row>
    <row r="38" spans="2:33" s="9" customFormat="1" outlineLevel="1" x14ac:dyDescent="0.2">
      <c r="B38" s="99"/>
      <c r="C38" s="100"/>
      <c r="D38" s="101"/>
      <c r="G38" s="21"/>
      <c r="H38" s="102"/>
      <c r="I38" s="94"/>
      <c r="J38" s="94"/>
      <c r="K38" s="105" t="s">
        <v>359</v>
      </c>
      <c r="L38" s="94"/>
      <c r="M38" s="94"/>
      <c r="N38" s="98" cm="1">
        <f t="array" ref="N38:AA38">($N$32/$N$36)*forecast_solar.module.costs_CA</f>
        <v>0.46</v>
      </c>
      <c r="O38" s="98">
        <v>0.40306291016829021</v>
      </c>
      <c r="P38" s="98">
        <v>0.36975684771654815</v>
      </c>
      <c r="Q38" s="98">
        <v>0.34612582033658046</v>
      </c>
      <c r="R38" s="98">
        <v>0.32779617147862755</v>
      </c>
      <c r="S38" s="98">
        <v>0.31281975788483835</v>
      </c>
      <c r="T38" s="98">
        <v>0.3001573806133136</v>
      </c>
      <c r="U38" s="98">
        <v>0.28918873050487065</v>
      </c>
      <c r="V38" s="98">
        <v>0.27951369543309623</v>
      </c>
      <c r="W38" s="98">
        <v>0.27085908164691769</v>
      </c>
      <c r="X38" s="98">
        <v>0.26303003116299101</v>
      </c>
      <c r="Y38" s="98">
        <v>0.25588266805312859</v>
      </c>
      <c r="Z38" s="98">
        <v>0.24930773135137377</v>
      </c>
      <c r="AA38" s="98">
        <v>0.24322029078160379</v>
      </c>
      <c r="AB38" s="21"/>
      <c r="AC38" s="21"/>
      <c r="AD38" s="150">
        <f t="shared" si="0"/>
        <v>33</v>
      </c>
      <c r="AE38" s="21"/>
      <c r="AF38" s="21"/>
      <c r="AG38" s="21"/>
    </row>
    <row r="39" spans="2:33" x14ac:dyDescent="0.2">
      <c r="G39"/>
      <c r="H39" s="69"/>
      <c r="K39" s="32"/>
      <c r="L39" s="9"/>
      <c r="M39" s="9"/>
      <c r="N39" s="9"/>
      <c r="O39" s="9"/>
      <c r="P39" s="9"/>
      <c r="R39" s="75"/>
      <c r="S39" s="35"/>
      <c r="AD39" s="150">
        <f t="shared" si="0"/>
        <v>34</v>
      </c>
    </row>
    <row r="40" spans="2:33" x14ac:dyDescent="0.2">
      <c r="G40"/>
      <c r="H40" s="72" t="s">
        <v>455</v>
      </c>
      <c r="K40" s="32"/>
      <c r="L40" s="9"/>
      <c r="M40" s="9"/>
      <c r="N40" s="9"/>
      <c r="O40" s="9"/>
      <c r="P40" s="9"/>
      <c r="AD40" s="150">
        <f t="shared" si="0"/>
        <v>35</v>
      </c>
    </row>
    <row r="41" spans="2:33" outlineLevel="1" x14ac:dyDescent="0.2">
      <c r="G41"/>
      <c r="I41" s="80" t="s">
        <v>310</v>
      </c>
      <c r="J41" s="81"/>
      <c r="K41" s="81"/>
      <c r="L41" s="110"/>
      <c r="M41" s="110"/>
      <c r="N41" s="110"/>
      <c r="O41" s="110"/>
      <c r="P41" s="110"/>
      <c r="Q41" s="83"/>
      <c r="R41" s="83"/>
      <c r="S41" s="83"/>
      <c r="T41" s="83"/>
      <c r="U41" s="83"/>
      <c r="V41" s="83"/>
      <c r="W41" s="83"/>
      <c r="X41" s="83"/>
      <c r="Y41" s="83"/>
      <c r="Z41" s="83"/>
      <c r="AA41" s="83"/>
      <c r="AD41" s="150">
        <f t="shared" si="0"/>
        <v>36</v>
      </c>
    </row>
    <row r="42" spans="2:33" outlineLevel="1" x14ac:dyDescent="0.2">
      <c r="G42"/>
      <c r="I42" s="80"/>
      <c r="J42" s="84" t="s">
        <v>324</v>
      </c>
      <c r="K42" s="82"/>
      <c r="L42" s="83"/>
      <c r="M42" s="83"/>
      <c r="N42" s="83"/>
      <c r="O42" s="110"/>
      <c r="P42" s="110"/>
      <c r="Q42" s="83"/>
      <c r="R42" s="83"/>
      <c r="S42" s="83"/>
      <c r="T42" s="83"/>
      <c r="U42" s="83"/>
      <c r="V42" s="83"/>
      <c r="W42" s="83"/>
      <c r="X42" s="83"/>
      <c r="Y42" s="83"/>
      <c r="Z42" s="83"/>
      <c r="AA42" s="83"/>
      <c r="AD42" s="150">
        <f t="shared" si="0"/>
        <v>37</v>
      </c>
    </row>
    <row r="43" spans="2:33" outlineLevel="1" x14ac:dyDescent="0.2">
      <c r="G43"/>
      <c r="I43" s="80"/>
      <c r="J43" s="81"/>
      <c r="K43" s="82" t="s">
        <v>456</v>
      </c>
      <c r="L43" s="83"/>
      <c r="M43" s="83"/>
      <c r="N43" s="111">
        <f>AVERAGE(0.06,0.04)</f>
        <v>0.05</v>
      </c>
      <c r="O43" s="110"/>
      <c r="P43" s="110"/>
      <c r="Q43" s="83"/>
      <c r="R43" s="83"/>
      <c r="S43" s="83"/>
      <c r="T43" s="83"/>
      <c r="U43" s="83"/>
      <c r="V43" s="83"/>
      <c r="W43" s="83"/>
      <c r="X43" s="83"/>
      <c r="Y43" s="83"/>
      <c r="Z43" s="83"/>
      <c r="AA43" s="83"/>
      <c r="AD43" s="150">
        <f t="shared" si="0"/>
        <v>38</v>
      </c>
      <c r="AE43" s="32" t="s">
        <v>436</v>
      </c>
    </row>
    <row r="44" spans="2:33" outlineLevel="1" x14ac:dyDescent="0.2">
      <c r="G44"/>
      <c r="I44" s="81"/>
      <c r="J44" s="81"/>
      <c r="K44" s="82" t="s">
        <v>457</v>
      </c>
      <c r="L44" s="83"/>
      <c r="M44" s="83"/>
      <c r="N44" s="111">
        <f>N43*INDEX(US.CPI,MATCH(2022,CPI.years,0))/INDEX(US.CPI,MATCH(2021,CPI.years,0))</f>
        <v>5.0313661501800708E-2</v>
      </c>
      <c r="O44" s="110"/>
      <c r="P44" s="110"/>
      <c r="Q44" s="83"/>
      <c r="R44" s="83"/>
      <c r="S44" s="83"/>
      <c r="T44" s="83"/>
      <c r="U44" s="83"/>
      <c r="V44" s="83"/>
      <c r="W44" s="83"/>
      <c r="X44" s="83"/>
      <c r="Y44" s="83"/>
      <c r="Z44" s="83"/>
      <c r="AA44" s="83"/>
      <c r="AD44" s="150">
        <f t="shared" si="0"/>
        <v>39</v>
      </c>
    </row>
    <row r="45" spans="2:33" outlineLevel="1" x14ac:dyDescent="0.2">
      <c r="I45" s="81"/>
      <c r="J45" s="84" t="s">
        <v>438</v>
      </c>
      <c r="K45" s="82"/>
      <c r="L45" s="83"/>
      <c r="M45" s="82"/>
      <c r="N45" s="82"/>
      <c r="O45" s="83"/>
      <c r="P45" s="82"/>
      <c r="Q45" s="83"/>
      <c r="R45" s="82"/>
      <c r="S45" s="83"/>
      <c r="T45" s="83"/>
      <c r="U45" s="82"/>
      <c r="V45" s="82"/>
      <c r="W45" s="83"/>
      <c r="X45" s="82"/>
      <c r="Y45" s="83"/>
      <c r="Z45" s="83"/>
      <c r="AA45" s="83"/>
      <c r="AD45" s="150">
        <f t="shared" si="0"/>
        <v>40</v>
      </c>
    </row>
    <row r="46" spans="2:33" outlineLevel="1" x14ac:dyDescent="0.2">
      <c r="I46" s="81"/>
      <c r="J46" s="81"/>
      <c r="K46" s="82" t="s">
        <v>439</v>
      </c>
      <c r="L46" s="83"/>
      <c r="M46" s="87">
        <v>0.06</v>
      </c>
      <c r="N46" s="87">
        <v>0.05</v>
      </c>
      <c r="O46" s="83"/>
      <c r="P46" s="87">
        <v>0.04</v>
      </c>
      <c r="Q46" s="83"/>
      <c r="R46" s="87">
        <v>0.04</v>
      </c>
      <c r="S46" s="83"/>
      <c r="T46" s="83"/>
      <c r="U46" s="87">
        <v>0.03</v>
      </c>
      <c r="V46" s="87"/>
      <c r="W46" s="83"/>
      <c r="X46" s="87">
        <v>0.03</v>
      </c>
      <c r="Y46" s="83"/>
      <c r="Z46" s="83"/>
      <c r="AA46" s="83"/>
      <c r="AD46" s="150">
        <f t="shared" si="0"/>
        <v>41</v>
      </c>
    </row>
    <row r="47" spans="2:33" outlineLevel="1" x14ac:dyDescent="0.2">
      <c r="I47" s="81"/>
      <c r="J47" s="81"/>
      <c r="K47" s="82" t="s">
        <v>458</v>
      </c>
      <c r="L47" s="83"/>
      <c r="M47" s="86"/>
      <c r="N47" s="111">
        <f>N46*$N$44/$M$46</f>
        <v>4.1928051251500599E-2</v>
      </c>
      <c r="O47" s="111"/>
      <c r="P47" s="111">
        <f>P46*$N$44/$M$46</f>
        <v>3.354244100120047E-2</v>
      </c>
      <c r="Q47" s="111"/>
      <c r="R47" s="111">
        <f>R46*$N$44/$M$46</f>
        <v>3.354244100120047E-2</v>
      </c>
      <c r="S47" s="83"/>
      <c r="T47" s="83"/>
      <c r="U47" s="111">
        <f>U46*$N$44/$M$46</f>
        <v>2.5156830750900354E-2</v>
      </c>
      <c r="V47" s="111"/>
      <c r="W47" s="111"/>
      <c r="X47" s="111">
        <f>X46*$N$44/$M$46</f>
        <v>2.5156830750900354E-2</v>
      </c>
      <c r="Y47" s="83"/>
      <c r="Z47" s="83"/>
      <c r="AA47" s="83"/>
      <c r="AD47" s="150">
        <f t="shared" si="0"/>
        <v>42</v>
      </c>
    </row>
    <row r="48" spans="2:33" outlineLevel="1" x14ac:dyDescent="0.2">
      <c r="I48" s="81"/>
      <c r="J48" s="84" t="s">
        <v>443</v>
      </c>
      <c r="K48" s="82"/>
      <c r="L48" s="83"/>
      <c r="M48" s="87"/>
      <c r="N48" s="90"/>
      <c r="O48" s="83"/>
      <c r="P48" s="83"/>
      <c r="Q48" s="83"/>
      <c r="R48" s="83"/>
      <c r="S48" s="83"/>
      <c r="T48" s="83"/>
      <c r="U48" s="83"/>
      <c r="V48" s="83"/>
      <c r="W48" s="83"/>
      <c r="X48" s="83"/>
      <c r="Y48" s="83"/>
      <c r="Z48" s="83"/>
      <c r="AA48" s="83"/>
      <c r="AD48" s="150">
        <f t="shared" si="0"/>
        <v>43</v>
      </c>
    </row>
    <row r="49" spans="9:30" outlineLevel="1" x14ac:dyDescent="0.2">
      <c r="I49" s="81"/>
      <c r="J49" s="84"/>
      <c r="K49" s="82" t="s">
        <v>459</v>
      </c>
      <c r="L49" s="88" t="s">
        <v>445</v>
      </c>
      <c r="M49" s="111">
        <v>63.063063063062941</v>
      </c>
      <c r="N49" s="90"/>
      <c r="O49" s="83"/>
      <c r="P49" s="83"/>
      <c r="Q49" s="83"/>
      <c r="R49" s="83"/>
      <c r="S49" s="83"/>
      <c r="T49" s="83"/>
      <c r="U49" s="83"/>
      <c r="V49" s="83"/>
      <c r="W49" s="83"/>
      <c r="X49" s="83"/>
      <c r="Y49" s="83"/>
      <c r="Z49" s="83"/>
      <c r="AA49" s="83"/>
      <c r="AD49" s="150">
        <f t="shared" si="0"/>
        <v>44</v>
      </c>
    </row>
    <row r="50" spans="9:30" outlineLevel="1" x14ac:dyDescent="0.2">
      <c r="I50" s="81"/>
      <c r="J50" s="84"/>
      <c r="K50" s="82"/>
      <c r="L50" s="88" t="s">
        <v>446</v>
      </c>
      <c r="M50" s="111">
        <v>55.495495495494993</v>
      </c>
      <c r="N50" s="90"/>
      <c r="O50" s="83"/>
      <c r="P50" s="83"/>
      <c r="Q50" s="83"/>
      <c r="R50" s="83"/>
      <c r="S50" s="83"/>
      <c r="T50" s="83"/>
      <c r="U50" s="83"/>
      <c r="V50" s="83"/>
      <c r="W50" s="83"/>
      <c r="X50" s="83"/>
      <c r="Y50" s="83"/>
      <c r="Z50" s="83"/>
      <c r="AA50" s="83"/>
      <c r="AD50" s="150">
        <f t="shared" si="0"/>
        <v>45</v>
      </c>
    </row>
    <row r="51" spans="9:30" outlineLevel="1" x14ac:dyDescent="0.2">
      <c r="I51" s="81"/>
      <c r="J51" s="84"/>
      <c r="K51" s="82"/>
      <c r="L51" s="88" t="s">
        <v>447</v>
      </c>
      <c r="M51" s="90">
        <f>M50/M49</f>
        <v>0.87999999999999368</v>
      </c>
      <c r="N51" s="83"/>
      <c r="O51" s="83"/>
      <c r="P51" s="83"/>
      <c r="Q51" s="83"/>
      <c r="R51" s="83"/>
      <c r="S51" s="83"/>
      <c r="T51" s="83"/>
      <c r="U51" s="83"/>
      <c r="V51" s="83"/>
      <c r="W51" s="83"/>
      <c r="X51" s="83"/>
      <c r="Y51" s="83"/>
      <c r="Z51" s="83"/>
      <c r="AA51" s="83"/>
      <c r="AD51" s="150">
        <f t="shared" si="0"/>
        <v>46</v>
      </c>
    </row>
    <row r="52" spans="9:30" outlineLevel="1" x14ac:dyDescent="0.2">
      <c r="I52" s="80" t="s">
        <v>460</v>
      </c>
      <c r="J52" s="84"/>
      <c r="K52" s="82"/>
      <c r="L52" s="88"/>
      <c r="M52" s="90"/>
      <c r="N52" s="83"/>
      <c r="O52" s="83"/>
      <c r="P52" s="83"/>
      <c r="Q52" s="83"/>
      <c r="R52" s="83"/>
      <c r="S52" s="83"/>
      <c r="T52" s="83"/>
      <c r="U52" s="83"/>
      <c r="V52" s="83"/>
      <c r="W52" s="83"/>
      <c r="X52" s="83"/>
      <c r="Y52" s="83"/>
      <c r="Z52" s="83"/>
      <c r="AA52" s="83"/>
      <c r="AD52" s="150">
        <f t="shared" si="0"/>
        <v>47</v>
      </c>
    </row>
    <row r="53" spans="9:30" outlineLevel="1" x14ac:dyDescent="0.2">
      <c r="I53" s="81"/>
      <c r="J53" s="84"/>
      <c r="K53" s="82" t="s">
        <v>348</v>
      </c>
      <c r="L53" s="88"/>
      <c r="M53" s="90"/>
      <c r="N53" s="111">
        <f>N47</f>
        <v>4.1928051251500599E-2</v>
      </c>
      <c r="O53" s="112"/>
      <c r="P53" s="112"/>
      <c r="Q53" s="112"/>
      <c r="R53" s="112"/>
      <c r="S53" s="112"/>
      <c r="T53" s="112"/>
      <c r="U53" s="112"/>
      <c r="V53" s="112"/>
      <c r="W53" s="112"/>
      <c r="X53" s="112"/>
      <c r="Y53" s="112"/>
      <c r="Z53" s="112"/>
      <c r="AA53" s="83"/>
      <c r="AD53" s="150">
        <f t="shared" si="0"/>
        <v>48</v>
      </c>
    </row>
    <row r="54" spans="9:30" outlineLevel="1" x14ac:dyDescent="0.2">
      <c r="I54" s="81"/>
      <c r="J54" s="84"/>
      <c r="K54" s="82" t="s">
        <v>449</v>
      </c>
      <c r="L54" s="88"/>
      <c r="M54" s="90"/>
      <c r="N54" s="111">
        <f>N47</f>
        <v>4.1928051251500599E-2</v>
      </c>
      <c r="O54" s="112"/>
      <c r="P54" s="111">
        <f>P47</f>
        <v>3.354244100120047E-2</v>
      </c>
      <c r="Q54" s="112"/>
      <c r="R54" s="111">
        <f>R47</f>
        <v>3.354244100120047E-2</v>
      </c>
      <c r="S54" s="112"/>
      <c r="T54" s="112"/>
      <c r="U54" s="111">
        <f>U47</f>
        <v>2.5156830750900354E-2</v>
      </c>
      <c r="V54" s="112"/>
      <c r="W54" s="112"/>
      <c r="X54" s="111">
        <f>X47</f>
        <v>2.5156830750900354E-2</v>
      </c>
      <c r="Y54" s="112"/>
      <c r="Z54" s="112"/>
      <c r="AA54" s="83"/>
      <c r="AD54" s="150">
        <f t="shared" si="0"/>
        <v>49</v>
      </c>
    </row>
    <row r="55" spans="9:30" outlineLevel="1" x14ac:dyDescent="0.2">
      <c r="I55" s="81"/>
      <c r="J55" s="84"/>
      <c r="K55" s="82"/>
      <c r="L55" s="88"/>
      <c r="M55" s="90"/>
      <c r="N55" s="111"/>
      <c r="O55" s="112"/>
      <c r="P55" s="111"/>
      <c r="Q55" s="112"/>
      <c r="R55" s="111"/>
      <c r="S55" s="112"/>
      <c r="T55" s="112"/>
      <c r="U55" s="111"/>
      <c r="V55" s="112"/>
      <c r="W55" s="112"/>
      <c r="X55" s="111"/>
      <c r="Y55" s="112"/>
      <c r="Z55" s="112"/>
      <c r="AA55" s="83"/>
      <c r="AD55" s="150">
        <f t="shared" si="0"/>
        <v>50</v>
      </c>
    </row>
    <row r="56" spans="9:30" outlineLevel="1" x14ac:dyDescent="0.2">
      <c r="I56" s="106" t="s">
        <v>350</v>
      </c>
      <c r="J56" s="107"/>
      <c r="K56" s="82"/>
      <c r="L56" s="83"/>
      <c r="M56" s="86"/>
      <c r="N56" s="111"/>
      <c r="O56" s="112"/>
      <c r="P56" s="111"/>
      <c r="Q56" s="112"/>
      <c r="R56" s="111"/>
      <c r="S56" s="112"/>
      <c r="T56" s="112"/>
      <c r="U56" s="111"/>
      <c r="V56" s="112"/>
      <c r="W56" s="112"/>
      <c r="X56" s="111"/>
      <c r="Y56" s="112"/>
      <c r="Z56" s="112"/>
      <c r="AA56" s="83"/>
      <c r="AD56" s="150">
        <f t="shared" si="0"/>
        <v>51</v>
      </c>
    </row>
    <row r="57" spans="9:30" outlineLevel="1" x14ac:dyDescent="0.2">
      <c r="I57" s="106"/>
      <c r="J57" s="107" t="s">
        <v>461</v>
      </c>
      <c r="K57" s="82"/>
      <c r="L57" s="83"/>
      <c r="M57" s="86"/>
      <c r="N57" s="111"/>
      <c r="O57" s="112"/>
      <c r="P57" s="111"/>
      <c r="Q57" s="112"/>
      <c r="R57" s="111"/>
      <c r="S57" s="112"/>
      <c r="T57" s="112"/>
      <c r="U57" s="111"/>
      <c r="V57" s="112"/>
      <c r="W57" s="112"/>
      <c r="X57" s="111"/>
      <c r="Y57" s="112"/>
      <c r="Z57" s="112"/>
      <c r="AA57" s="83"/>
      <c r="AD57" s="150">
        <f t="shared" si="0"/>
        <v>52</v>
      </c>
    </row>
    <row r="58" spans="9:30" outlineLevel="1" x14ac:dyDescent="0.2">
      <c r="I58" s="106"/>
      <c r="J58" s="107"/>
      <c r="K58" s="82" t="s">
        <v>352</v>
      </c>
      <c r="L58" s="83"/>
      <c r="M58" s="86"/>
      <c r="N58" s="111">
        <v>6.4200000000000007E-2</v>
      </c>
      <c r="O58" s="112"/>
      <c r="P58" s="111"/>
      <c r="Q58" s="112"/>
      <c r="R58" s="111"/>
      <c r="S58" s="112"/>
      <c r="T58" s="112"/>
      <c r="U58" s="111"/>
      <c r="V58" s="112"/>
      <c r="W58" s="112"/>
      <c r="X58" s="111"/>
      <c r="Y58" s="112"/>
      <c r="Z58" s="112"/>
      <c r="AA58" s="83"/>
      <c r="AD58" s="150">
        <f t="shared" si="0"/>
        <v>53</v>
      </c>
    </row>
    <row r="59" spans="9:30" outlineLevel="1" x14ac:dyDescent="0.2">
      <c r="I59" s="106"/>
      <c r="J59" s="107"/>
      <c r="K59" s="88" t="s">
        <v>462</v>
      </c>
      <c r="L59" s="83"/>
      <c r="M59" s="86"/>
      <c r="N59" s="134">
        <f>AVERAGE(N58:N58)</f>
        <v>6.4200000000000007E-2</v>
      </c>
      <c r="O59" s="112"/>
      <c r="P59" s="111"/>
      <c r="Q59" s="112"/>
      <c r="R59" s="111"/>
      <c r="S59" s="112"/>
      <c r="T59" s="112"/>
      <c r="U59" s="111"/>
      <c r="V59" s="112"/>
      <c r="W59" s="112"/>
      <c r="X59" s="111"/>
      <c r="Y59" s="112"/>
      <c r="Z59" s="112"/>
      <c r="AA59" s="83"/>
      <c r="AD59" s="150">
        <f>ROW(A57)</f>
        <v>57</v>
      </c>
    </row>
    <row r="60" spans="9:30" outlineLevel="1" x14ac:dyDescent="0.2">
      <c r="I60" s="83"/>
      <c r="J60" s="107" t="s">
        <v>463</v>
      </c>
      <c r="K60" s="82"/>
      <c r="L60" s="83"/>
      <c r="M60" s="86"/>
      <c r="N60" s="111"/>
      <c r="O60" s="112"/>
      <c r="P60" s="111"/>
      <c r="Q60" s="112"/>
      <c r="R60" s="111"/>
      <c r="S60" s="112"/>
      <c r="T60" s="112"/>
      <c r="U60" s="111"/>
      <c r="V60" s="112"/>
      <c r="W60" s="112"/>
      <c r="X60" s="111"/>
      <c r="Y60" s="112"/>
      <c r="Z60" s="112"/>
      <c r="AA60" s="83"/>
      <c r="AD60" s="150">
        <f>ROW(A58)</f>
        <v>58</v>
      </c>
    </row>
    <row r="61" spans="9:30" outlineLevel="1" x14ac:dyDescent="0.2">
      <c r="I61" s="83"/>
      <c r="J61" s="107"/>
      <c r="K61" s="82" t="s">
        <v>352</v>
      </c>
      <c r="L61" s="83"/>
      <c r="M61" s="86"/>
      <c r="N61" s="111">
        <v>6.1800000000000001E-2</v>
      </c>
      <c r="O61" s="112"/>
      <c r="P61" s="111"/>
      <c r="Q61" s="112"/>
      <c r="R61" s="111"/>
      <c r="S61" s="112"/>
      <c r="T61" s="112"/>
      <c r="U61" s="111"/>
      <c r="V61" s="112"/>
      <c r="W61" s="112"/>
      <c r="X61" s="111"/>
      <c r="Y61" s="112"/>
      <c r="Z61" s="112"/>
      <c r="AA61" s="83"/>
      <c r="AD61" s="150" t="e">
        <f>ROW(#REF!)</f>
        <v>#REF!</v>
      </c>
    </row>
    <row r="62" spans="9:30" outlineLevel="1" x14ac:dyDescent="0.2">
      <c r="I62" s="83"/>
      <c r="J62" s="107"/>
      <c r="K62" s="88" t="s">
        <v>463</v>
      </c>
      <c r="L62" s="83"/>
      <c r="M62" s="86"/>
      <c r="N62" s="134">
        <f>AVERAGE(N61:N61)</f>
        <v>6.1800000000000001E-2</v>
      </c>
      <c r="O62" s="112"/>
      <c r="P62" s="111"/>
      <c r="Q62" s="112"/>
      <c r="R62" s="111"/>
      <c r="S62" s="112"/>
      <c r="T62" s="112"/>
      <c r="U62" s="111"/>
      <c r="V62" s="112"/>
      <c r="W62" s="112"/>
      <c r="X62" s="111"/>
      <c r="Y62" s="112"/>
      <c r="Z62" s="112"/>
      <c r="AA62" s="83"/>
      <c r="AD62" s="150">
        <f>ROW(A60)</f>
        <v>60</v>
      </c>
    </row>
    <row r="63" spans="9:30" outlineLevel="1" x14ac:dyDescent="0.2">
      <c r="I63" s="138"/>
      <c r="J63" s="138"/>
      <c r="K63" s="138"/>
      <c r="L63" s="139"/>
      <c r="M63" s="139"/>
      <c r="N63" s="139"/>
      <c r="O63" s="139"/>
      <c r="P63" s="139"/>
      <c r="Q63" s="139"/>
      <c r="R63" s="140"/>
      <c r="S63" s="140"/>
      <c r="T63" s="140"/>
      <c r="U63" s="140"/>
      <c r="V63" s="140"/>
      <c r="W63" s="140"/>
      <c r="X63" s="140"/>
      <c r="Y63" s="140"/>
      <c r="Z63" s="140"/>
      <c r="AA63" s="140"/>
      <c r="AD63" s="150">
        <f>ROW(A61)</f>
        <v>61</v>
      </c>
    </row>
    <row r="64" spans="9:30" outlineLevel="1" x14ac:dyDescent="0.2">
      <c r="I64" s="103" t="s">
        <v>355</v>
      </c>
      <c r="J64" s="92"/>
      <c r="K64" s="93"/>
      <c r="L64" s="105"/>
      <c r="M64" s="108"/>
      <c r="N64" s="98"/>
      <c r="O64" s="113"/>
      <c r="P64" s="98"/>
      <c r="Q64" s="113"/>
      <c r="R64" s="98"/>
      <c r="S64" s="113"/>
      <c r="T64" s="113"/>
      <c r="U64" s="98"/>
      <c r="V64" s="113"/>
      <c r="W64" s="113"/>
      <c r="X64" s="98"/>
      <c r="Y64" s="113"/>
      <c r="Z64" s="113"/>
      <c r="AA64" s="113"/>
      <c r="AD64" s="150" t="e">
        <f>ROW(#REF!)</f>
        <v>#REF!</v>
      </c>
    </row>
    <row r="65" spans="8:31" outlineLevel="1" x14ac:dyDescent="0.2">
      <c r="I65" s="96"/>
      <c r="J65" s="92"/>
      <c r="K65" s="91" t="s">
        <v>356</v>
      </c>
      <c r="L65" s="94"/>
      <c r="M65" s="95"/>
      <c r="N65" s="98">
        <f>AVERAGE(N52:N54)*USD_to_CAD*$M$20</f>
        <v>6.2574028754899161E-2</v>
      </c>
      <c r="O65" s="98"/>
      <c r="P65" s="98">
        <f>AVERAGE(P52:P54)*USD_to_CAD*$M$20</f>
        <v>5.0059223003919316E-2</v>
      </c>
      <c r="Q65" s="98"/>
      <c r="R65" s="98">
        <f>AVERAGE(R52:R54)*USD_to_CAD*$M$20</f>
        <v>5.0059223003919316E-2</v>
      </c>
      <c r="S65" s="98"/>
      <c r="T65" s="98"/>
      <c r="U65" s="98">
        <f>AVERAGE(U52:U54)*USD_to_CAD*$M$20</f>
        <v>3.7544417252939492E-2</v>
      </c>
      <c r="V65" s="98"/>
      <c r="W65" s="98"/>
      <c r="X65" s="98">
        <f>AVERAGE(X52:X54)*USD_to_CAD*$M$20</f>
        <v>3.7544417252939492E-2</v>
      </c>
      <c r="Y65" s="98"/>
      <c r="Z65" s="98"/>
      <c r="AA65" s="98"/>
      <c r="AD65" s="150" t="e">
        <f>ROW(#REF!)</f>
        <v>#REF!</v>
      </c>
    </row>
    <row r="66" spans="8:31" outlineLevel="1" x14ac:dyDescent="0.2">
      <c r="I66" s="96"/>
      <c r="J66" s="92"/>
      <c r="K66" s="105" t="s">
        <v>357</v>
      </c>
      <c r="L66" s="105"/>
      <c r="M66" s="108"/>
      <c r="N66" s="98">
        <f t="shared" ref="N66:AA66" si="2">-0.011*LN(N4-2021)+0.0618</f>
        <v>6.1800000000000001E-2</v>
      </c>
      <c r="O66" s="98">
        <f t="shared" si="2"/>
        <v>5.4175381013840604E-2</v>
      </c>
      <c r="P66" s="98">
        <f t="shared" si="2"/>
        <v>4.9715264824650794E-2</v>
      </c>
      <c r="Q66" s="98">
        <f t="shared" si="2"/>
        <v>4.6550762027681207E-2</v>
      </c>
      <c r="R66" s="98">
        <f t="shared" si="2"/>
        <v>4.40961829632249E-2</v>
      </c>
      <c r="S66" s="98">
        <f t="shared" si="2"/>
        <v>4.2090645838491397E-2</v>
      </c>
      <c r="T66" s="98">
        <f t="shared" si="2"/>
        <v>4.0394988360391557E-2</v>
      </c>
      <c r="U66" s="98">
        <f t="shared" si="2"/>
        <v>3.892614304152181E-2</v>
      </c>
      <c r="V66" s="98">
        <f t="shared" si="2"/>
        <v>3.7630529649301588E-2</v>
      </c>
      <c r="W66" s="98">
        <f t="shared" si="2"/>
        <v>3.6471563977065496E-2</v>
      </c>
      <c r="X66" s="98">
        <f t="shared" si="2"/>
        <v>3.5423151999217924E-2</v>
      </c>
      <c r="Y66" s="98">
        <f t="shared" si="2"/>
        <v>3.4466026852331993E-2</v>
      </c>
      <c r="Z66" s="98">
        <f t="shared" si="2"/>
        <v>3.35855570679231E-2</v>
      </c>
      <c r="AA66" s="98">
        <f t="shared" si="2"/>
        <v>3.277036937423216E-2</v>
      </c>
      <c r="AD66" s="150" t="e">
        <f>ROW(#REF!)</f>
        <v>#REF!</v>
      </c>
    </row>
    <row r="67" spans="8:31" outlineLevel="1" x14ac:dyDescent="0.2">
      <c r="I67" s="96"/>
      <c r="J67" s="92"/>
      <c r="K67" s="105" t="s">
        <v>358</v>
      </c>
      <c r="L67" s="105"/>
      <c r="M67" s="108"/>
      <c r="N67" s="98" cm="1">
        <f t="array" ref="N67:AA67">($N$59/$N$66)*forecast_solar.inverter.costs_CA</f>
        <v>6.4200000000000007E-2</v>
      </c>
      <c r="O67" s="98">
        <v>5.6279279305640251E-2</v>
      </c>
      <c r="P67" s="98">
        <v>5.1645954720753749E-2</v>
      </c>
      <c r="Q67" s="98">
        <v>4.8358558611280487E-2</v>
      </c>
      <c r="R67" s="98">
        <v>4.5808656088010345E-2</v>
      </c>
      <c r="S67" s="98">
        <v>4.3725234026393986E-2</v>
      </c>
      <c r="T67" s="98">
        <v>4.1963725772445608E-2</v>
      </c>
      <c r="U67" s="98">
        <v>4.0437837916920724E-2</v>
      </c>
      <c r="V67" s="98">
        <v>3.9091909441507484E-2</v>
      </c>
      <c r="W67" s="98">
        <v>3.7887935393650575E-2</v>
      </c>
      <c r="X67" s="98">
        <v>3.6798808387537074E-2</v>
      </c>
      <c r="Y67" s="98">
        <v>3.5804513332034216E-2</v>
      </c>
      <c r="Z67" s="98">
        <v>3.4889850546289049E-2</v>
      </c>
      <c r="AA67" s="98">
        <v>3.4043005078085845E-2</v>
      </c>
      <c r="AD67" s="150">
        <f t="shared" ref="AD67:AD115" si="3">ROW(A62)</f>
        <v>62</v>
      </c>
    </row>
    <row r="68" spans="8:31" outlineLevel="1" x14ac:dyDescent="0.2">
      <c r="I68" s="96"/>
      <c r="J68" s="92"/>
      <c r="K68" s="105" t="s">
        <v>359</v>
      </c>
      <c r="L68" s="105"/>
      <c r="M68" s="108"/>
      <c r="N68" s="98" cm="1">
        <f t="array" ref="N68:AA68">($N$62/$N$66)*forecast_solar.inverter.costs_CA</f>
        <v>6.1800000000000001E-2</v>
      </c>
      <c r="O68" s="98">
        <v>5.4175381013840604E-2</v>
      </c>
      <c r="P68" s="98">
        <v>4.9715264824650794E-2</v>
      </c>
      <c r="Q68" s="98">
        <v>4.6550762027681207E-2</v>
      </c>
      <c r="R68" s="98">
        <v>4.40961829632249E-2</v>
      </c>
      <c r="S68" s="98">
        <v>4.2090645838491397E-2</v>
      </c>
      <c r="T68" s="98">
        <v>4.0394988360391557E-2</v>
      </c>
      <c r="U68" s="98">
        <v>3.892614304152181E-2</v>
      </c>
      <c r="V68" s="98">
        <v>3.7630529649301588E-2</v>
      </c>
      <c r="W68" s="98">
        <v>3.6471563977065496E-2</v>
      </c>
      <c r="X68" s="98">
        <v>3.5423151999217924E-2</v>
      </c>
      <c r="Y68" s="98">
        <v>3.4466026852331993E-2</v>
      </c>
      <c r="Z68" s="98">
        <v>3.35855570679231E-2</v>
      </c>
      <c r="AA68" s="98">
        <v>3.277036937423216E-2</v>
      </c>
      <c r="AD68" s="150">
        <f t="shared" si="3"/>
        <v>63</v>
      </c>
    </row>
    <row r="69" spans="8:31" x14ac:dyDescent="0.2">
      <c r="J69" s="58"/>
      <c r="K69" s="60"/>
      <c r="L69" s="75"/>
      <c r="M69" s="35"/>
      <c r="N69" s="26"/>
      <c r="O69" s="26"/>
      <c r="P69" s="26"/>
      <c r="Q69" s="26"/>
      <c r="R69" s="26"/>
      <c r="S69" s="26"/>
      <c r="T69" s="26"/>
      <c r="U69" s="26"/>
      <c r="V69" s="26"/>
      <c r="W69" s="26"/>
      <c r="X69" s="26"/>
      <c r="Y69" s="26"/>
      <c r="Z69" s="26"/>
      <c r="AA69" s="26"/>
      <c r="AD69" s="150">
        <f t="shared" si="3"/>
        <v>64</v>
      </c>
    </row>
    <row r="70" spans="8:31" x14ac:dyDescent="0.2">
      <c r="H70" s="72" t="s">
        <v>464</v>
      </c>
      <c r="J70" s="58"/>
      <c r="K70" s="60"/>
      <c r="L70" s="75"/>
      <c r="M70" s="35"/>
      <c r="N70" s="26"/>
      <c r="O70" s="26"/>
      <c r="P70" s="26"/>
      <c r="Q70" s="26"/>
      <c r="R70" s="26"/>
      <c r="S70" s="26"/>
      <c r="T70" s="26"/>
      <c r="U70" s="26"/>
      <c r="V70" s="26"/>
      <c r="W70" s="26"/>
      <c r="X70" s="26"/>
      <c r="Y70" s="26"/>
      <c r="Z70" s="26"/>
      <c r="AA70" s="26"/>
      <c r="AD70" s="150">
        <f t="shared" si="3"/>
        <v>65</v>
      </c>
    </row>
    <row r="71" spans="8:31" outlineLevel="1" x14ac:dyDescent="0.2">
      <c r="H71" s="72"/>
      <c r="I71" s="80" t="s">
        <v>310</v>
      </c>
      <c r="J71" s="84"/>
      <c r="K71" s="114"/>
      <c r="L71" s="88"/>
      <c r="M71" s="90"/>
      <c r="N71" s="111"/>
      <c r="O71" s="111"/>
      <c r="P71" s="111"/>
      <c r="Q71" s="111"/>
      <c r="R71" s="111"/>
      <c r="S71" s="111"/>
      <c r="T71" s="111"/>
      <c r="U71" s="111"/>
      <c r="V71" s="111"/>
      <c r="W71" s="111"/>
      <c r="X71" s="111"/>
      <c r="Y71" s="111"/>
      <c r="Z71" s="111"/>
      <c r="AA71" s="111"/>
      <c r="AD71" s="150">
        <f t="shared" si="3"/>
        <v>66</v>
      </c>
    </row>
    <row r="72" spans="8:31" outlineLevel="1" x14ac:dyDescent="0.2">
      <c r="H72" s="72"/>
      <c r="I72" s="80"/>
      <c r="J72" s="84" t="s">
        <v>443</v>
      </c>
      <c r="K72" s="82"/>
      <c r="L72" s="83"/>
      <c r="M72" s="87"/>
      <c r="N72" s="111"/>
      <c r="O72" s="111"/>
      <c r="P72" s="111"/>
      <c r="Q72" s="111"/>
      <c r="R72" s="111"/>
      <c r="S72" s="111"/>
      <c r="T72" s="111"/>
      <c r="U72" s="111"/>
      <c r="V72" s="111"/>
      <c r="W72" s="111"/>
      <c r="X72" s="111"/>
      <c r="Y72" s="111"/>
      <c r="Z72" s="111"/>
      <c r="AA72" s="111"/>
      <c r="AD72" s="150">
        <f t="shared" si="3"/>
        <v>67</v>
      </c>
      <c r="AE72" s="40" t="s">
        <v>465</v>
      </c>
    </row>
    <row r="73" spans="8:31" outlineLevel="1" x14ac:dyDescent="0.2">
      <c r="H73" s="72"/>
      <c r="I73" s="80"/>
      <c r="J73" s="84"/>
      <c r="K73" s="82" t="s">
        <v>466</v>
      </c>
      <c r="L73" s="88" t="s">
        <v>445</v>
      </c>
      <c r="M73" s="111">
        <v>78.198198198198043</v>
      </c>
      <c r="N73" s="111"/>
      <c r="O73" s="111"/>
      <c r="P73" s="111"/>
      <c r="Q73" s="111"/>
      <c r="R73" s="111"/>
      <c r="S73" s="111"/>
      <c r="T73" s="111"/>
      <c r="U73" s="111"/>
      <c r="V73" s="111"/>
      <c r="W73" s="111"/>
      <c r="X73" s="111"/>
      <c r="Y73" s="111"/>
      <c r="Z73" s="111"/>
      <c r="AA73" s="111"/>
      <c r="AD73" s="150">
        <f t="shared" si="3"/>
        <v>68</v>
      </c>
    </row>
    <row r="74" spans="8:31" outlineLevel="1" x14ac:dyDescent="0.2">
      <c r="H74" s="72"/>
      <c r="I74" s="80"/>
      <c r="J74" s="84"/>
      <c r="K74" s="82"/>
      <c r="L74" s="88" t="s">
        <v>446</v>
      </c>
      <c r="M74" s="111">
        <v>73.153153153153085</v>
      </c>
      <c r="N74" s="111"/>
      <c r="O74" s="111"/>
      <c r="P74" s="111"/>
      <c r="Q74" s="111"/>
      <c r="R74" s="111"/>
      <c r="S74" s="111"/>
      <c r="T74" s="111"/>
      <c r="U74" s="111"/>
      <c r="V74" s="111"/>
      <c r="W74" s="111"/>
      <c r="X74" s="111"/>
      <c r="Y74" s="111"/>
      <c r="Z74" s="111"/>
      <c r="AA74" s="111"/>
      <c r="AD74" s="150">
        <f t="shared" si="3"/>
        <v>69</v>
      </c>
    </row>
    <row r="75" spans="8:31" outlineLevel="1" x14ac:dyDescent="0.2">
      <c r="H75" s="72"/>
      <c r="I75" s="80"/>
      <c r="J75" s="84"/>
      <c r="K75" s="82"/>
      <c r="L75" s="88" t="s">
        <v>467</v>
      </c>
      <c r="M75" s="90">
        <f>M74/M73</f>
        <v>0.93548387096774288</v>
      </c>
      <c r="N75" s="111"/>
      <c r="O75" s="111"/>
      <c r="P75" s="111"/>
      <c r="Q75" s="111"/>
      <c r="R75" s="111"/>
      <c r="S75" s="111"/>
      <c r="T75" s="111"/>
      <c r="U75" s="111"/>
      <c r="V75" s="111"/>
      <c r="W75" s="111"/>
      <c r="X75" s="111"/>
      <c r="Y75" s="111"/>
      <c r="Z75" s="111"/>
      <c r="AA75" s="111"/>
      <c r="AD75" s="150">
        <f t="shared" si="3"/>
        <v>70</v>
      </c>
    </row>
    <row r="76" spans="8:31" outlineLevel="1" x14ac:dyDescent="0.2">
      <c r="H76" s="72"/>
      <c r="I76" s="80"/>
      <c r="J76" s="84"/>
      <c r="K76" s="82" t="s">
        <v>468</v>
      </c>
      <c r="L76" s="88" t="s">
        <v>445</v>
      </c>
      <c r="M76" s="111">
        <v>70.63063063062998</v>
      </c>
      <c r="N76" s="111"/>
      <c r="O76" s="111"/>
      <c r="P76" s="111"/>
      <c r="Q76" s="111"/>
      <c r="R76" s="111"/>
      <c r="S76" s="111"/>
      <c r="T76" s="111"/>
      <c r="U76" s="111"/>
      <c r="V76" s="111"/>
      <c r="W76" s="111"/>
      <c r="X76" s="111"/>
      <c r="Y76" s="111"/>
      <c r="Z76" s="111"/>
      <c r="AA76" s="111"/>
      <c r="AD76" s="150">
        <f t="shared" si="3"/>
        <v>71</v>
      </c>
    </row>
    <row r="77" spans="8:31" outlineLevel="1" x14ac:dyDescent="0.2">
      <c r="H77" s="72"/>
      <c r="I77" s="80"/>
      <c r="J77" s="84"/>
      <c r="K77" s="82"/>
      <c r="L77" s="88" t="s">
        <v>446</v>
      </c>
      <c r="M77" s="111">
        <v>58.018018018017983</v>
      </c>
      <c r="N77" s="111"/>
      <c r="O77" s="111"/>
      <c r="P77" s="111"/>
      <c r="Q77" s="111"/>
      <c r="R77" s="111"/>
      <c r="S77" s="111"/>
      <c r="T77" s="111"/>
      <c r="U77" s="111"/>
      <c r="V77" s="111"/>
      <c r="W77" s="111"/>
      <c r="X77" s="111"/>
      <c r="Y77" s="111"/>
      <c r="Z77" s="111"/>
      <c r="AA77" s="111"/>
      <c r="AD77" s="150">
        <f t="shared" si="3"/>
        <v>72</v>
      </c>
    </row>
    <row r="78" spans="8:31" outlineLevel="1" x14ac:dyDescent="0.2">
      <c r="H78" s="72"/>
      <c r="I78" s="80"/>
      <c r="J78" s="84"/>
      <c r="K78" s="82"/>
      <c r="L78" s="88" t="s">
        <v>467</v>
      </c>
      <c r="M78" s="90">
        <f>M77/M76</f>
        <v>0.8214285714285785</v>
      </c>
      <c r="N78" s="111"/>
      <c r="O78" s="111"/>
      <c r="P78" s="111"/>
      <c r="Q78" s="111"/>
      <c r="R78" s="111"/>
      <c r="S78" s="111"/>
      <c r="T78" s="111"/>
      <c r="U78" s="111"/>
      <c r="V78" s="111"/>
      <c r="W78" s="111"/>
      <c r="X78" s="111"/>
      <c r="Y78" s="111"/>
      <c r="Z78" s="111"/>
      <c r="AA78" s="111"/>
      <c r="AD78" s="150">
        <f t="shared" si="3"/>
        <v>73</v>
      </c>
    </row>
    <row r="79" spans="8:31" outlineLevel="1" x14ac:dyDescent="0.2">
      <c r="H79" s="72"/>
      <c r="I79" s="81"/>
      <c r="J79" s="84" t="s">
        <v>324</v>
      </c>
      <c r="K79" s="114"/>
      <c r="L79" s="88"/>
      <c r="M79" s="90"/>
      <c r="N79" s="111"/>
      <c r="O79" s="111"/>
      <c r="P79" s="111"/>
      <c r="Q79" s="111"/>
      <c r="R79" s="111"/>
      <c r="S79" s="111"/>
      <c r="T79" s="111"/>
      <c r="U79" s="111"/>
      <c r="V79" s="111"/>
      <c r="W79" s="111"/>
      <c r="X79" s="111"/>
      <c r="Y79" s="111"/>
      <c r="Z79" s="111"/>
      <c r="AA79" s="111"/>
      <c r="AD79" s="150">
        <f t="shared" si="3"/>
        <v>74</v>
      </c>
    </row>
    <row r="80" spans="8:31" outlineLevel="1" x14ac:dyDescent="0.2">
      <c r="I80" s="81"/>
      <c r="J80" s="81"/>
      <c r="K80" s="82" t="s">
        <v>469</v>
      </c>
      <c r="L80" s="88"/>
      <c r="M80" s="83"/>
      <c r="N80" s="165">
        <f>AVERAGE(24.5,35.9)</f>
        <v>30.2</v>
      </c>
      <c r="O80" s="111"/>
      <c r="P80" s="111"/>
      <c r="Q80" s="111"/>
      <c r="R80" s="111"/>
      <c r="S80" s="111"/>
      <c r="T80" s="111"/>
      <c r="U80" s="111"/>
      <c r="V80" s="111"/>
      <c r="W80" s="111"/>
      <c r="X80" s="111"/>
      <c r="Y80" s="111"/>
      <c r="Z80" s="111"/>
      <c r="AA80" s="111"/>
      <c r="AD80" s="150">
        <f t="shared" si="3"/>
        <v>75</v>
      </c>
    </row>
    <row r="81" spans="9:30" outlineLevel="1" x14ac:dyDescent="0.2">
      <c r="I81" s="81"/>
      <c r="J81" s="81"/>
      <c r="K81" s="82" t="s">
        <v>470</v>
      </c>
      <c r="L81" s="88"/>
      <c r="M81" s="83"/>
      <c r="N81" s="165">
        <f>N80*INDEX(US.CPI,MATCH(2022,CPI.years,0))/INDEX(US.CPI,MATCH(2021,CPI.years,0))</f>
        <v>30.389451547087621</v>
      </c>
      <c r="O81" s="111"/>
      <c r="P81" s="111"/>
      <c r="Q81" s="111"/>
      <c r="R81" s="111"/>
      <c r="S81" s="111"/>
      <c r="T81" s="111"/>
      <c r="U81" s="111"/>
      <c r="V81" s="111"/>
      <c r="W81" s="111"/>
      <c r="X81" s="111"/>
      <c r="Y81" s="111"/>
      <c r="Z81" s="111"/>
      <c r="AA81" s="111"/>
      <c r="AD81" s="150">
        <f t="shared" si="3"/>
        <v>76</v>
      </c>
    </row>
    <row r="82" spans="9:30" outlineLevel="1" x14ac:dyDescent="0.2">
      <c r="I82" s="81"/>
      <c r="J82" s="81"/>
      <c r="K82" s="82" t="s">
        <v>471</v>
      </c>
      <c r="L82" s="88"/>
      <c r="M82" s="83"/>
      <c r="N82" s="165">
        <f>AVERAGE(15.4,16.2)</f>
        <v>15.8</v>
      </c>
      <c r="O82" s="111"/>
      <c r="P82" s="111"/>
      <c r="Q82" s="111"/>
      <c r="R82" s="111"/>
      <c r="S82" s="111"/>
      <c r="T82" s="111"/>
      <c r="U82" s="111"/>
      <c r="V82" s="111"/>
      <c r="W82" s="111"/>
      <c r="X82" s="111"/>
      <c r="Y82" s="111"/>
      <c r="Z82" s="111"/>
      <c r="AA82" s="111"/>
      <c r="AD82" s="150">
        <f t="shared" si="3"/>
        <v>77</v>
      </c>
    </row>
    <row r="83" spans="9:30" outlineLevel="1" x14ac:dyDescent="0.2">
      <c r="I83" s="81"/>
      <c r="J83" s="81"/>
      <c r="K83" s="82" t="s">
        <v>472</v>
      </c>
      <c r="L83" s="88"/>
      <c r="M83" s="83"/>
      <c r="N83" s="165">
        <f>AVERAGE(64865,73000)</f>
        <v>68932.5</v>
      </c>
      <c r="O83" s="111"/>
      <c r="P83" s="111"/>
      <c r="Q83" s="111"/>
      <c r="R83" s="111"/>
      <c r="S83" s="111"/>
      <c r="T83" s="111"/>
      <c r="U83" s="111"/>
      <c r="V83" s="111"/>
      <c r="W83" s="111"/>
      <c r="X83" s="111"/>
      <c r="Y83" s="111"/>
      <c r="Z83" s="111"/>
      <c r="AA83" s="111"/>
      <c r="AD83" s="150">
        <f t="shared" si="3"/>
        <v>78</v>
      </c>
    </row>
    <row r="84" spans="9:30" outlineLevel="1" x14ac:dyDescent="0.2">
      <c r="I84" s="81"/>
      <c r="J84" s="81"/>
      <c r="K84" s="82" t="s">
        <v>473</v>
      </c>
      <c r="L84" s="88"/>
      <c r="M84" s="83"/>
      <c r="N84" s="165">
        <f>N82*INDEX(US.CPI,MATCH(2022,CPI.years,0))/INDEX(US.CPI,MATCH(2021,CPI.years,0))</f>
        <v>15.89911703456902</v>
      </c>
      <c r="O84" s="111"/>
      <c r="P84" s="111"/>
      <c r="Q84" s="111"/>
      <c r="R84" s="111"/>
      <c r="S84" s="111"/>
      <c r="T84" s="111"/>
      <c r="U84" s="111"/>
      <c r="V84" s="111"/>
      <c r="W84" s="111"/>
      <c r="X84" s="111"/>
      <c r="Y84" s="111"/>
      <c r="Z84" s="111"/>
      <c r="AA84" s="111"/>
      <c r="AD84" s="150">
        <f t="shared" si="3"/>
        <v>79</v>
      </c>
    </row>
    <row r="85" spans="9:30" outlineLevel="1" x14ac:dyDescent="0.2">
      <c r="I85" s="81"/>
      <c r="J85" s="81"/>
      <c r="K85" s="82" t="s">
        <v>474</v>
      </c>
      <c r="L85" s="88"/>
      <c r="M85" s="83"/>
      <c r="N85" s="165">
        <f>N83*INDEX(US.CPI,MATCH(2022,CPI.years,0))/INDEX(US.CPI,MATCH(2021,CPI.years,0))</f>
        <v>69364.929429457537</v>
      </c>
      <c r="O85" s="111"/>
      <c r="P85" s="111"/>
      <c r="Q85" s="111"/>
      <c r="R85" s="111"/>
      <c r="S85" s="111"/>
      <c r="T85" s="111"/>
      <c r="U85" s="111"/>
      <c r="V85" s="111"/>
      <c r="W85" s="111"/>
      <c r="X85" s="111"/>
      <c r="Y85" s="111"/>
      <c r="Z85" s="111"/>
      <c r="AA85" s="111"/>
      <c r="AD85" s="150">
        <f t="shared" si="3"/>
        <v>80</v>
      </c>
    </row>
    <row r="86" spans="9:30" outlineLevel="1" x14ac:dyDescent="0.2">
      <c r="I86" s="81"/>
      <c r="J86" s="84" t="s">
        <v>438</v>
      </c>
      <c r="K86" s="82"/>
      <c r="L86" s="88"/>
      <c r="M86" s="90"/>
      <c r="N86" s="111"/>
      <c r="O86" s="111"/>
      <c r="P86" s="111"/>
      <c r="Q86" s="111"/>
      <c r="R86" s="111"/>
      <c r="S86" s="111"/>
      <c r="T86" s="111"/>
      <c r="U86" s="111"/>
      <c r="V86" s="111"/>
      <c r="W86" s="111"/>
      <c r="X86" s="111"/>
      <c r="Y86" s="111"/>
      <c r="Z86" s="111"/>
      <c r="AA86" s="111"/>
      <c r="AD86" s="150">
        <f t="shared" si="3"/>
        <v>81</v>
      </c>
    </row>
    <row r="87" spans="9:30" outlineLevel="1" x14ac:dyDescent="0.2">
      <c r="I87" s="81"/>
      <c r="J87" s="84"/>
      <c r="K87" s="82" t="s">
        <v>475</v>
      </c>
      <c r="L87" s="83"/>
      <c r="M87" s="90">
        <v>0.16</v>
      </c>
      <c r="N87" s="90">
        <v>0.16</v>
      </c>
      <c r="O87" s="83"/>
      <c r="P87" s="90">
        <v>0.16</v>
      </c>
      <c r="Q87" s="83"/>
      <c r="R87" s="90">
        <v>0.15</v>
      </c>
      <c r="S87" s="83"/>
      <c r="T87" s="83"/>
      <c r="U87" s="90">
        <v>0.14000000000000001</v>
      </c>
      <c r="V87" s="83"/>
      <c r="W87" s="111"/>
      <c r="X87" s="90">
        <v>0.13</v>
      </c>
      <c r="Y87" s="111"/>
      <c r="Z87" s="111"/>
      <c r="AA87" s="111"/>
      <c r="AD87" s="150">
        <f t="shared" si="3"/>
        <v>82</v>
      </c>
    </row>
    <row r="88" spans="9:30" outlineLevel="1" x14ac:dyDescent="0.2">
      <c r="I88" s="81"/>
      <c r="J88" s="84"/>
      <c r="K88" s="82" t="s">
        <v>458</v>
      </c>
      <c r="L88" s="83"/>
      <c r="M88" s="86"/>
      <c r="N88" s="111">
        <f>N87*N81/$M$87</f>
        <v>30.389451547087621</v>
      </c>
      <c r="O88" s="111"/>
      <c r="P88" s="111">
        <f>P87*$N$81/$M$87</f>
        <v>30.389451547087621</v>
      </c>
      <c r="Q88" s="111"/>
      <c r="R88" s="111">
        <f>R87*$N$81/$M$87</f>
        <v>28.490110825394641</v>
      </c>
      <c r="S88" s="83"/>
      <c r="T88" s="83"/>
      <c r="U88" s="111">
        <f>U87*$N$81/$M$87</f>
        <v>26.590770103701672</v>
      </c>
      <c r="V88" s="111"/>
      <c r="W88" s="111"/>
      <c r="X88" s="111">
        <f>X87*$N$81/$M$87</f>
        <v>24.691429382008693</v>
      </c>
      <c r="Y88" s="111"/>
      <c r="Z88" s="111"/>
      <c r="AA88" s="111"/>
      <c r="AD88" s="150">
        <f t="shared" si="3"/>
        <v>83</v>
      </c>
    </row>
    <row r="89" spans="9:30" outlineLevel="1" x14ac:dyDescent="0.2">
      <c r="I89" s="81"/>
      <c r="J89" s="84"/>
      <c r="K89" s="82" t="s">
        <v>476</v>
      </c>
      <c r="L89" s="83"/>
      <c r="M89" s="90">
        <v>0.09</v>
      </c>
      <c r="N89" s="90">
        <v>0.08</v>
      </c>
      <c r="O89" s="83"/>
      <c r="P89" s="90">
        <v>0.08</v>
      </c>
      <c r="Q89" s="83"/>
      <c r="R89" s="90">
        <v>7.0000000000000007E-2</v>
      </c>
      <c r="S89" s="83"/>
      <c r="T89" s="83"/>
      <c r="U89" s="90">
        <v>7.0000000000000007E-2</v>
      </c>
      <c r="V89" s="83"/>
      <c r="W89" s="111"/>
      <c r="X89" s="90">
        <v>7.0000000000000007E-2</v>
      </c>
      <c r="Y89" s="111"/>
      <c r="Z89" s="111"/>
      <c r="AA89" s="111"/>
      <c r="AD89" s="150">
        <f t="shared" si="3"/>
        <v>84</v>
      </c>
    </row>
    <row r="90" spans="9:30" outlineLevel="1" x14ac:dyDescent="0.2">
      <c r="I90" s="81"/>
      <c r="J90" s="84"/>
      <c r="K90" s="82" t="s">
        <v>458</v>
      </c>
      <c r="L90" s="83"/>
      <c r="M90" s="83"/>
      <c r="N90" s="117">
        <f>N89*$N$84/$M$89</f>
        <v>14.132548475172465</v>
      </c>
      <c r="O90" s="118"/>
      <c r="P90" s="117">
        <f>P89*$N$84/$M$89</f>
        <v>14.132548475172465</v>
      </c>
      <c r="Q90" s="118"/>
      <c r="R90" s="117">
        <f>R89*$N$84/$M$89</f>
        <v>12.365979915775908</v>
      </c>
      <c r="S90" s="118"/>
      <c r="T90" s="118"/>
      <c r="U90" s="117">
        <f>U89*$N$84/$M$89</f>
        <v>12.365979915775908</v>
      </c>
      <c r="V90" s="118"/>
      <c r="W90" s="118"/>
      <c r="X90" s="117">
        <f>X89*$N$84/$M$89</f>
        <v>12.365979915775908</v>
      </c>
      <c r="Y90" s="111"/>
      <c r="Z90" s="111"/>
      <c r="AA90" s="111"/>
      <c r="AD90" s="150">
        <f t="shared" si="3"/>
        <v>85</v>
      </c>
    </row>
    <row r="91" spans="9:30" outlineLevel="1" x14ac:dyDescent="0.2">
      <c r="I91" s="81"/>
      <c r="J91" s="84"/>
      <c r="K91" s="82" t="s">
        <v>477</v>
      </c>
      <c r="L91" s="83"/>
      <c r="M91" s="83"/>
      <c r="N91" s="117">
        <f>N89*$N$85/$M$89</f>
        <v>61657.715048406702</v>
      </c>
      <c r="O91" s="118"/>
      <c r="P91" s="117">
        <f>P89*$N$85/$M$89</f>
        <v>61657.715048406702</v>
      </c>
      <c r="Q91" s="118"/>
      <c r="R91" s="117">
        <f>R89*$N$85/$M$89</f>
        <v>53950.500667355867</v>
      </c>
      <c r="S91" s="118"/>
      <c r="T91" s="118"/>
      <c r="U91" s="117">
        <f>U89*$N$85/$M$89</f>
        <v>53950.500667355867</v>
      </c>
      <c r="V91" s="118"/>
      <c r="W91" s="118"/>
      <c r="X91" s="117">
        <f>X89*$N$85/$M$89</f>
        <v>53950.500667355867</v>
      </c>
      <c r="Y91" s="111"/>
      <c r="Z91" s="111"/>
      <c r="AA91" s="111"/>
      <c r="AD91" s="150">
        <f t="shared" si="3"/>
        <v>86</v>
      </c>
    </row>
    <row r="92" spans="9:30" outlineLevel="1" x14ac:dyDescent="0.2">
      <c r="I92" s="106" t="s">
        <v>350</v>
      </c>
      <c r="J92" s="107"/>
      <c r="K92" s="82"/>
      <c r="L92" s="83"/>
      <c r="M92" s="83"/>
      <c r="N92" s="117"/>
      <c r="O92" s="118"/>
      <c r="P92" s="117"/>
      <c r="Q92" s="118"/>
      <c r="R92" s="117"/>
      <c r="S92" s="118"/>
      <c r="T92" s="118"/>
      <c r="U92" s="117"/>
      <c r="V92" s="118"/>
      <c r="W92" s="118"/>
      <c r="X92" s="117"/>
      <c r="Y92" s="111"/>
      <c r="Z92" s="111"/>
      <c r="AA92" s="111"/>
      <c r="AD92" s="150">
        <f t="shared" si="3"/>
        <v>87</v>
      </c>
    </row>
    <row r="93" spans="9:30" outlineLevel="1" x14ac:dyDescent="0.2">
      <c r="I93" s="106"/>
      <c r="J93" s="107" t="s">
        <v>393</v>
      </c>
      <c r="K93" s="82"/>
      <c r="L93" s="83"/>
      <c r="M93" s="83"/>
      <c r="N93" s="136" t="s">
        <v>394</v>
      </c>
      <c r="O93" s="136" t="s">
        <v>395</v>
      </c>
      <c r="P93" s="117"/>
      <c r="Q93" s="118"/>
      <c r="R93" s="117"/>
      <c r="S93" s="118"/>
      <c r="T93" s="118"/>
      <c r="U93" s="117"/>
      <c r="V93" s="118"/>
      <c r="W93" s="118"/>
      <c r="X93" s="117"/>
      <c r="Y93" s="111"/>
      <c r="Z93" s="111"/>
      <c r="AA93" s="111"/>
      <c r="AD93" s="150">
        <f t="shared" si="3"/>
        <v>88</v>
      </c>
    </row>
    <row r="94" spans="9:30" outlineLevel="1" x14ac:dyDescent="0.2">
      <c r="I94" s="106"/>
      <c r="J94" s="107"/>
      <c r="K94" s="82" t="s">
        <v>352</v>
      </c>
      <c r="L94" s="83"/>
      <c r="M94" s="83"/>
      <c r="N94" s="135">
        <v>41.082018354838759</v>
      </c>
      <c r="O94" s="135">
        <v>16.451257642857286</v>
      </c>
      <c r="P94" s="117"/>
      <c r="Q94" s="118"/>
      <c r="R94" s="117"/>
      <c r="S94" s="118"/>
      <c r="T94" s="118"/>
      <c r="U94" s="117"/>
      <c r="V94" s="118"/>
      <c r="W94" s="118"/>
      <c r="X94" s="117"/>
      <c r="Y94" s="111"/>
      <c r="Z94" s="111"/>
      <c r="AA94" s="111"/>
      <c r="AD94" s="150">
        <f t="shared" si="3"/>
        <v>89</v>
      </c>
    </row>
    <row r="95" spans="9:30" outlineLevel="1" x14ac:dyDescent="0.2">
      <c r="I95" s="106"/>
      <c r="J95" s="107"/>
      <c r="K95" s="88" t="s">
        <v>396</v>
      </c>
      <c r="L95" s="83"/>
      <c r="M95" s="83"/>
      <c r="N95" s="134">
        <f>AVERAGE(N94:N94)</f>
        <v>41.082018354838759</v>
      </c>
      <c r="O95" s="134">
        <f>AVERAGE(O94:O94)</f>
        <v>16.451257642857286</v>
      </c>
      <c r="P95" s="117"/>
      <c r="Q95" s="118"/>
      <c r="R95" s="117"/>
      <c r="S95" s="118"/>
      <c r="T95" s="118"/>
      <c r="U95" s="117"/>
      <c r="V95" s="118"/>
      <c r="W95" s="118"/>
      <c r="X95" s="117"/>
      <c r="Y95" s="111"/>
      <c r="Z95" s="111"/>
      <c r="AA95" s="111"/>
      <c r="AD95" s="150">
        <f>ROW(A93)</f>
        <v>93</v>
      </c>
    </row>
    <row r="96" spans="9:30" outlineLevel="1" x14ac:dyDescent="0.2">
      <c r="I96" s="83"/>
      <c r="J96" s="107" t="s">
        <v>397</v>
      </c>
      <c r="K96" s="82"/>
      <c r="L96" s="83"/>
      <c r="M96" s="83"/>
      <c r="N96" s="111"/>
      <c r="O96" s="118"/>
      <c r="P96" s="117"/>
      <c r="Q96" s="118"/>
      <c r="R96" s="117"/>
      <c r="S96" s="118"/>
      <c r="T96" s="118"/>
      <c r="U96" s="117"/>
      <c r="V96" s="118"/>
      <c r="W96" s="118"/>
      <c r="X96" s="117"/>
      <c r="Y96" s="111"/>
      <c r="Z96" s="111"/>
      <c r="AA96" s="111"/>
      <c r="AD96" s="150">
        <f>ROW(A94)</f>
        <v>94</v>
      </c>
    </row>
    <row r="97" spans="9:30" outlineLevel="1" x14ac:dyDescent="0.2">
      <c r="I97" s="83"/>
      <c r="J97" s="107"/>
      <c r="K97" s="82" t="s">
        <v>352</v>
      </c>
      <c r="L97" s="83"/>
      <c r="M97" s="83"/>
      <c r="N97" s="135">
        <v>38.394409677419397</v>
      </c>
      <c r="O97" s="135">
        <v>15.375007142857276</v>
      </c>
      <c r="P97" s="117"/>
      <c r="Q97" s="118"/>
      <c r="R97" s="117"/>
      <c r="S97" s="118"/>
      <c r="T97" s="118"/>
      <c r="U97" s="117"/>
      <c r="V97" s="118"/>
      <c r="W97" s="118"/>
      <c r="X97" s="117"/>
      <c r="Y97" s="111"/>
      <c r="Z97" s="111"/>
      <c r="AA97" s="111"/>
      <c r="AD97" s="150" t="e">
        <f>ROW(#REF!)</f>
        <v>#REF!</v>
      </c>
    </row>
    <row r="98" spans="9:30" outlineLevel="1" x14ac:dyDescent="0.2">
      <c r="I98" s="83"/>
      <c r="J98" s="107"/>
      <c r="K98" s="88" t="s">
        <v>397</v>
      </c>
      <c r="L98" s="83"/>
      <c r="M98" s="83"/>
      <c r="N98" s="134">
        <f>AVERAGE(N97:N97)</f>
        <v>38.394409677419397</v>
      </c>
      <c r="O98" s="134">
        <f>AVERAGE(O97:O97)</f>
        <v>15.375007142857276</v>
      </c>
      <c r="P98" s="117"/>
      <c r="Q98" s="118"/>
      <c r="R98" s="117"/>
      <c r="S98" s="118"/>
      <c r="T98" s="118"/>
      <c r="U98" s="117"/>
      <c r="V98" s="118"/>
      <c r="W98" s="118"/>
      <c r="X98" s="117"/>
      <c r="Y98" s="111"/>
      <c r="Z98" s="111"/>
      <c r="AA98" s="111"/>
      <c r="AD98" s="150">
        <f>ROW(A96)</f>
        <v>96</v>
      </c>
    </row>
    <row r="99" spans="9:30" outlineLevel="1" x14ac:dyDescent="0.2">
      <c r="I99" s="81"/>
      <c r="J99" s="84"/>
      <c r="K99" s="82"/>
      <c r="L99" s="83"/>
      <c r="M99" s="83"/>
      <c r="N99" s="117"/>
      <c r="O99" s="118"/>
      <c r="P99" s="117"/>
      <c r="Q99" s="118"/>
      <c r="R99" s="117"/>
      <c r="S99" s="118"/>
      <c r="T99" s="118"/>
      <c r="U99" s="117"/>
      <c r="V99" s="118"/>
      <c r="W99" s="118"/>
      <c r="X99" s="117"/>
      <c r="Y99" s="111"/>
      <c r="Z99" s="111"/>
      <c r="AA99" s="111"/>
      <c r="AD99" s="150">
        <f>ROW(A97)</f>
        <v>97</v>
      </c>
    </row>
    <row r="100" spans="9:30" outlineLevel="1" x14ac:dyDescent="0.2">
      <c r="I100" s="138"/>
      <c r="J100" s="138"/>
      <c r="K100" s="138"/>
      <c r="L100" s="139"/>
      <c r="M100" s="139"/>
      <c r="N100" s="139"/>
      <c r="O100" s="139"/>
      <c r="P100" s="139"/>
      <c r="Q100" s="139"/>
      <c r="R100" s="140"/>
      <c r="S100" s="140"/>
      <c r="T100" s="140"/>
      <c r="U100" s="140"/>
      <c r="V100" s="140"/>
      <c r="W100" s="140"/>
      <c r="X100" s="140"/>
      <c r="Y100" s="140"/>
      <c r="Z100" s="140"/>
      <c r="AA100" s="140"/>
      <c r="AD100" s="150" t="e">
        <f>ROW(#REF!)</f>
        <v>#REF!</v>
      </c>
    </row>
    <row r="101" spans="9:30" outlineLevel="1" x14ac:dyDescent="0.2">
      <c r="I101" s="103" t="s">
        <v>355</v>
      </c>
      <c r="J101" s="92"/>
      <c r="K101" s="93"/>
      <c r="L101" s="98"/>
      <c r="M101" s="98"/>
      <c r="N101" s="98"/>
      <c r="O101" s="98"/>
      <c r="P101" s="98"/>
      <c r="Q101" s="98"/>
      <c r="R101" s="98"/>
      <c r="S101" s="98"/>
      <c r="T101" s="98"/>
      <c r="U101" s="98"/>
      <c r="V101" s="98"/>
      <c r="W101" s="98"/>
      <c r="X101" s="98"/>
      <c r="Y101" s="98"/>
      <c r="Z101" s="98"/>
      <c r="AA101" s="98"/>
      <c r="AD101" s="150" t="e">
        <f>ROW(#REF!)</f>
        <v>#REF!</v>
      </c>
    </row>
    <row r="102" spans="9:30" outlineLevel="1" x14ac:dyDescent="0.2">
      <c r="I102" s="96"/>
      <c r="J102" s="105" t="s">
        <v>357</v>
      </c>
      <c r="K102" s="97"/>
      <c r="L102" s="98"/>
      <c r="M102" s="98"/>
      <c r="N102" s="98"/>
      <c r="O102" s="98"/>
      <c r="P102" s="98"/>
      <c r="Q102" s="98"/>
      <c r="R102" s="98"/>
      <c r="S102" s="98"/>
      <c r="T102" s="98"/>
      <c r="U102" s="98"/>
      <c r="V102" s="98"/>
      <c r="W102" s="98"/>
      <c r="X102" s="98"/>
      <c r="Y102" s="98"/>
      <c r="Z102" s="98"/>
      <c r="AA102" s="98"/>
      <c r="AD102" s="150" t="e">
        <f>ROW(#REF!)</f>
        <v>#REF!</v>
      </c>
    </row>
    <row r="103" spans="9:30" outlineLevel="1" x14ac:dyDescent="0.2">
      <c r="I103" s="96"/>
      <c r="J103" s="92"/>
      <c r="K103" s="93" t="s">
        <v>478</v>
      </c>
      <c r="L103" s="94"/>
      <c r="M103" s="108"/>
      <c r="N103" s="132">
        <f t="shared" ref="N103:AA103" si="4">(-2.334*(LN(N4-2021))+31.571)*USD_to_CAD*$M$75</f>
        <v>38.394409677419397</v>
      </c>
      <c r="O103" s="132">
        <f t="shared" si="4"/>
        <v>36.426949416696985</v>
      </c>
      <c r="P103" s="132">
        <f t="shared" si="4"/>
        <v>35.276058942515313</v>
      </c>
      <c r="Q103" s="132">
        <f t="shared" si="4"/>
        <v>34.45948915597458</v>
      </c>
      <c r="R103" s="132">
        <f t="shared" si="4"/>
        <v>33.826108422473624</v>
      </c>
      <c r="S103" s="132">
        <f t="shared" si="4"/>
        <v>33.308598681792901</v>
      </c>
      <c r="T103" s="132">
        <f t="shared" si="4"/>
        <v>32.871050430527603</v>
      </c>
      <c r="U103" s="132">
        <f t="shared" si="4"/>
        <v>32.492028895252169</v>
      </c>
      <c r="V103" s="132">
        <f t="shared" si="4"/>
        <v>32.157708207611222</v>
      </c>
      <c r="W103" s="132">
        <f t="shared" si="4"/>
        <v>31.858648161751209</v>
      </c>
      <c r="X103" s="132">
        <f t="shared" si="4"/>
        <v>31.588115443063913</v>
      </c>
      <c r="Y103" s="132">
        <f t="shared" si="4"/>
        <v>31.34113842107049</v>
      </c>
      <c r="Z103" s="132">
        <f t="shared" si="4"/>
        <v>31.113941584777965</v>
      </c>
      <c r="AA103" s="132">
        <f t="shared" si="4"/>
        <v>30.903590169805199</v>
      </c>
      <c r="AD103" s="150">
        <f t="shared" si="3"/>
        <v>98</v>
      </c>
    </row>
    <row r="104" spans="9:30" outlineLevel="1" x14ac:dyDescent="0.2">
      <c r="I104" s="96"/>
      <c r="J104" s="98"/>
      <c r="K104" s="93" t="s">
        <v>479</v>
      </c>
      <c r="L104" s="98"/>
      <c r="M104" s="98"/>
      <c r="N104" s="132">
        <f t="shared" ref="N104:AA104" si="5">(-0.888*LN(N4-2021)+14.398)*USD_to_CAD*$M$78</f>
        <v>15.375007142857276</v>
      </c>
      <c r="O104" s="132">
        <f t="shared" si="5"/>
        <v>14.717725377840013</v>
      </c>
      <c r="P104" s="132">
        <f t="shared" si="5"/>
        <v>14.333240192897097</v>
      </c>
      <c r="Q104" s="132">
        <f t="shared" si="5"/>
        <v>14.060443612822748</v>
      </c>
      <c r="R104" s="132">
        <f t="shared" si="5"/>
        <v>13.848846146406538</v>
      </c>
      <c r="S104" s="132">
        <f t="shared" si="5"/>
        <v>13.675958427879834</v>
      </c>
      <c r="T104" s="132">
        <f t="shared" si="5"/>
        <v>13.529783944657352</v>
      </c>
      <c r="U104" s="132">
        <f t="shared" si="5"/>
        <v>13.403161847805485</v>
      </c>
      <c r="V104" s="132">
        <f t="shared" si="5"/>
        <v>13.291473242936922</v>
      </c>
      <c r="W104" s="132">
        <f t="shared" si="5"/>
        <v>13.191564381389274</v>
      </c>
      <c r="X104" s="132">
        <f t="shared" si="5"/>
        <v>13.101185822602824</v>
      </c>
      <c r="Y104" s="132">
        <f t="shared" si="5"/>
        <v>13.018676662862569</v>
      </c>
      <c r="Z104" s="132">
        <f t="shared" si="5"/>
        <v>12.942775593577514</v>
      </c>
      <c r="AA104" s="132">
        <f t="shared" si="5"/>
        <v>12.87250217964009</v>
      </c>
      <c r="AD104" s="150">
        <f t="shared" si="3"/>
        <v>99</v>
      </c>
    </row>
    <row r="105" spans="9:30" outlineLevel="1" x14ac:dyDescent="0.2">
      <c r="I105" s="96"/>
      <c r="J105" s="98"/>
      <c r="K105" s="93" t="s">
        <v>480</v>
      </c>
      <c r="L105" s="98"/>
      <c r="M105" s="98"/>
      <c r="N105" s="132">
        <f t="shared" ref="N105:AA105" si="6">(-3875*LN(N4-2021)+62818)*USD_to_CAD*$M$78</f>
        <v>67080.650000000591</v>
      </c>
      <c r="O105" s="132">
        <f t="shared" si="6"/>
        <v>64212.444099728171</v>
      </c>
      <c r="P105" s="132">
        <f t="shared" si="6"/>
        <v>62534.651203721653</v>
      </c>
      <c r="Q105" s="132">
        <f t="shared" si="6"/>
        <v>61344.238199455765</v>
      </c>
      <c r="R105" s="132">
        <f t="shared" si="6"/>
        <v>60420.882138236375</v>
      </c>
      <c r="S105" s="132">
        <f t="shared" si="6"/>
        <v>59666.445303449247</v>
      </c>
      <c r="T105" s="132">
        <f t="shared" si="6"/>
        <v>59028.578048396179</v>
      </c>
      <c r="U105" s="132">
        <f t="shared" si="6"/>
        <v>58476.03229918336</v>
      </c>
      <c r="V105" s="132">
        <f t="shared" si="6"/>
        <v>57988.652407442729</v>
      </c>
      <c r="W105" s="132">
        <f t="shared" si="6"/>
        <v>57552.676237963977</v>
      </c>
      <c r="X105" s="132">
        <f t="shared" si="6"/>
        <v>57158.287819836158</v>
      </c>
      <c r="Y105" s="132">
        <f t="shared" si="6"/>
        <v>56798.239403176842</v>
      </c>
      <c r="Z105" s="132">
        <f t="shared" si="6"/>
        <v>56467.026966825935</v>
      </c>
      <c r="AA105" s="132">
        <f t="shared" si="6"/>
        <v>56160.372148123774</v>
      </c>
      <c r="AD105" s="150">
        <f t="shared" si="3"/>
        <v>100</v>
      </c>
    </row>
    <row r="106" spans="9:30" outlineLevel="1" x14ac:dyDescent="0.2">
      <c r="I106" s="96"/>
      <c r="J106" s="105" t="s">
        <v>358</v>
      </c>
      <c r="K106" s="97"/>
      <c r="L106" s="98"/>
      <c r="M106" s="98"/>
      <c r="N106" s="132"/>
      <c r="O106" s="132"/>
      <c r="P106" s="132"/>
      <c r="Q106" s="132"/>
      <c r="R106" s="132"/>
      <c r="S106" s="132"/>
      <c r="T106" s="132"/>
      <c r="U106" s="132"/>
      <c r="V106" s="132"/>
      <c r="W106" s="132"/>
      <c r="X106" s="132"/>
      <c r="Y106" s="132"/>
      <c r="Z106" s="132"/>
      <c r="AA106" s="132"/>
      <c r="AD106" s="150">
        <f t="shared" si="3"/>
        <v>101</v>
      </c>
    </row>
    <row r="107" spans="9:30" outlineLevel="1" x14ac:dyDescent="0.2">
      <c r="I107" s="96"/>
      <c r="J107" s="92"/>
      <c r="K107" s="93" t="s">
        <v>478</v>
      </c>
      <c r="L107" s="98"/>
      <c r="M107" s="98"/>
      <c r="N107" s="132" cm="1">
        <f t="array" ref="N107:AA107">($N$95/$N$103)*forecast_solar.struct.BOS.costs_CA</f>
        <v>41.082018354838759</v>
      </c>
      <c r="O107" s="132">
        <v>38.976835875865774</v>
      </c>
      <c r="P107" s="132">
        <v>37.745383068491385</v>
      </c>
      <c r="Q107" s="132">
        <v>36.871653396892803</v>
      </c>
      <c r="R107" s="132">
        <v>36.193936012046777</v>
      </c>
      <c r="S107" s="132">
        <v>35.640200589518408</v>
      </c>
      <c r="T107" s="132">
        <v>35.172023960664539</v>
      </c>
      <c r="U107" s="132">
        <v>34.766470917919825</v>
      </c>
      <c r="V107" s="132">
        <v>34.408747782144012</v>
      </c>
      <c r="W107" s="132">
        <v>34.088753533073792</v>
      </c>
      <c r="X107" s="132">
        <v>33.79928352407839</v>
      </c>
      <c r="Y107" s="132">
        <v>33.535018110545423</v>
      </c>
      <c r="Z107" s="132">
        <v>33.291917495712426</v>
      </c>
      <c r="AA107" s="132">
        <v>33.066841481691561</v>
      </c>
      <c r="AD107" s="150">
        <f t="shared" si="3"/>
        <v>102</v>
      </c>
    </row>
    <row r="108" spans="9:30" outlineLevel="1" x14ac:dyDescent="0.2">
      <c r="I108" s="96"/>
      <c r="J108" s="98"/>
      <c r="K108" s="93" t="s">
        <v>479</v>
      </c>
      <c r="L108" s="98"/>
      <c r="M108" s="98"/>
      <c r="N108" s="132" cm="1">
        <f t="array" ref="N108:AA108">($O$95/$N$104)*forecast_solar.electrical.BOS.costs_CA</f>
        <v>16.451257642857286</v>
      </c>
      <c r="O108" s="132">
        <v>15.747966154288815</v>
      </c>
      <c r="P108" s="132">
        <v>15.336567006399894</v>
      </c>
      <c r="Q108" s="132">
        <v>15.044674665720342</v>
      </c>
      <c r="R108" s="132">
        <v>14.818265376654997</v>
      </c>
      <c r="S108" s="132">
        <v>14.633275517831423</v>
      </c>
      <c r="T108" s="132">
        <v>14.476868820783366</v>
      </c>
      <c r="U108" s="132">
        <v>14.34138317715187</v>
      </c>
      <c r="V108" s="132">
        <v>14.221876369942507</v>
      </c>
      <c r="W108" s="132">
        <v>14.114973888086524</v>
      </c>
      <c r="X108" s="132">
        <v>14.018268830185022</v>
      </c>
      <c r="Y108" s="132">
        <v>13.92998402926295</v>
      </c>
      <c r="Z108" s="132">
        <v>13.84876988512794</v>
      </c>
      <c r="AA108" s="132">
        <v>13.773577332214897</v>
      </c>
      <c r="AD108" s="150">
        <f t="shared" si="3"/>
        <v>103</v>
      </c>
    </row>
    <row r="109" spans="9:30" outlineLevel="1" x14ac:dyDescent="0.2">
      <c r="I109" s="96"/>
      <c r="J109" s="98"/>
      <c r="K109" s="93" t="s">
        <v>480</v>
      </c>
      <c r="L109" s="98"/>
      <c r="M109" s="98"/>
      <c r="N109" s="132" cm="1">
        <f t="array" ref="N109:AA109">($O$95/$N$104)*forecast_solar.electrical.BOS.costs.fixed_CA</f>
        <v>71776.295500000633</v>
      </c>
      <c r="O109" s="132">
        <v>68707.315186709151</v>
      </c>
      <c r="P109" s="132">
        <v>66912.076787982165</v>
      </c>
      <c r="Q109" s="132">
        <v>65638.334873417669</v>
      </c>
      <c r="R109" s="132">
        <v>64650.343887912924</v>
      </c>
      <c r="S109" s="132">
        <v>63843.096474690698</v>
      </c>
      <c r="T109" s="132">
        <v>63160.578511783919</v>
      </c>
      <c r="U109" s="132">
        <v>62569.354560126201</v>
      </c>
      <c r="V109" s="132">
        <v>62047.858075963726</v>
      </c>
      <c r="W109" s="132">
        <v>61581.363574621457</v>
      </c>
      <c r="X109" s="132">
        <v>61159.367967224694</v>
      </c>
      <c r="Y109" s="132">
        <v>60774.116161399223</v>
      </c>
      <c r="Z109" s="132">
        <v>60419.718854503757</v>
      </c>
      <c r="AA109" s="132">
        <v>60091.598198492444</v>
      </c>
      <c r="AD109" s="150">
        <f t="shared" si="3"/>
        <v>104</v>
      </c>
    </row>
    <row r="110" spans="9:30" outlineLevel="1" x14ac:dyDescent="0.2">
      <c r="I110" s="96"/>
      <c r="J110" s="105" t="s">
        <v>359</v>
      </c>
      <c r="K110" s="97"/>
      <c r="L110" s="98"/>
      <c r="M110" s="98"/>
      <c r="N110" s="132"/>
      <c r="O110" s="132"/>
      <c r="P110" s="132"/>
      <c r="Q110" s="132"/>
      <c r="R110" s="132"/>
      <c r="S110" s="132"/>
      <c r="T110" s="132"/>
      <c r="U110" s="132"/>
      <c r="V110" s="132"/>
      <c r="W110" s="132"/>
      <c r="X110" s="132"/>
      <c r="Y110" s="132"/>
      <c r="Z110" s="132"/>
      <c r="AA110" s="132"/>
      <c r="AD110" s="150">
        <f t="shared" si="3"/>
        <v>105</v>
      </c>
    </row>
    <row r="111" spans="9:30" outlineLevel="1" x14ac:dyDescent="0.2">
      <c r="I111" s="96"/>
      <c r="J111" s="92"/>
      <c r="K111" s="93" t="s">
        <v>478</v>
      </c>
      <c r="L111" s="98"/>
      <c r="M111" s="98"/>
      <c r="N111" s="132" cm="1">
        <f t="array" ref="N111:AA111">($N$98/$N$103)*forecast_solar.struct.BOS.costs_CA</f>
        <v>38.394409677419397</v>
      </c>
      <c r="O111" s="132">
        <v>36.426949416696985</v>
      </c>
      <c r="P111" s="132">
        <v>35.276058942515313</v>
      </c>
      <c r="Q111" s="132">
        <v>34.45948915597458</v>
      </c>
      <c r="R111" s="132">
        <v>33.826108422473624</v>
      </c>
      <c r="S111" s="132">
        <v>33.308598681792901</v>
      </c>
      <c r="T111" s="132">
        <v>32.871050430527603</v>
      </c>
      <c r="U111" s="132">
        <v>32.492028895252169</v>
      </c>
      <c r="V111" s="132">
        <v>32.157708207611222</v>
      </c>
      <c r="W111" s="132">
        <v>31.858648161751209</v>
      </c>
      <c r="X111" s="132">
        <v>31.588115443063913</v>
      </c>
      <c r="Y111" s="132">
        <v>31.34113842107049</v>
      </c>
      <c r="Z111" s="132">
        <v>31.113941584777965</v>
      </c>
      <c r="AA111" s="132">
        <v>30.903590169805199</v>
      </c>
      <c r="AD111" s="150">
        <f t="shared" si="3"/>
        <v>106</v>
      </c>
    </row>
    <row r="112" spans="9:30" outlineLevel="1" x14ac:dyDescent="0.2">
      <c r="I112" s="96"/>
      <c r="J112" s="98"/>
      <c r="K112" s="93" t="s">
        <v>479</v>
      </c>
      <c r="L112" s="98"/>
      <c r="M112" s="98"/>
      <c r="N112" s="132" cm="1">
        <f t="array" ref="N112:AA112">($O$98/$N$104)*forecast_solar.electrical.BOS.costs_CA</f>
        <v>15.375007142857276</v>
      </c>
      <c r="O112" s="132">
        <v>14.717725377840013</v>
      </c>
      <c r="P112" s="132">
        <v>14.333240192897097</v>
      </c>
      <c r="Q112" s="132">
        <v>14.060443612822748</v>
      </c>
      <c r="R112" s="132">
        <v>13.848846146406538</v>
      </c>
      <c r="S112" s="132">
        <v>13.675958427879834</v>
      </c>
      <c r="T112" s="132">
        <v>13.529783944657352</v>
      </c>
      <c r="U112" s="132">
        <v>13.403161847805485</v>
      </c>
      <c r="V112" s="132">
        <v>13.291473242936922</v>
      </c>
      <c r="W112" s="132">
        <v>13.191564381389274</v>
      </c>
      <c r="X112" s="132">
        <v>13.101185822602824</v>
      </c>
      <c r="Y112" s="132">
        <v>13.018676662862569</v>
      </c>
      <c r="Z112" s="132">
        <v>12.942775593577514</v>
      </c>
      <c r="AA112" s="132">
        <v>12.87250217964009</v>
      </c>
      <c r="AD112" s="150">
        <f t="shared" si="3"/>
        <v>107</v>
      </c>
    </row>
    <row r="113" spans="8:31" outlineLevel="1" x14ac:dyDescent="0.2">
      <c r="I113" s="96"/>
      <c r="J113" s="98"/>
      <c r="K113" s="93" t="s">
        <v>480</v>
      </c>
      <c r="L113" s="98"/>
      <c r="M113" s="98"/>
      <c r="N113" s="132" cm="1">
        <f t="array" ref="N113:AA113">($O$98/$N$104)*forecast_solar.electrical.BOS.costs.fixed_CA</f>
        <v>67080.650000000591</v>
      </c>
      <c r="O113" s="132">
        <v>64212.444099728171</v>
      </c>
      <c r="P113" s="132">
        <v>62534.651203721653</v>
      </c>
      <c r="Q113" s="132">
        <v>61344.238199455765</v>
      </c>
      <c r="R113" s="132">
        <v>60420.882138236375</v>
      </c>
      <c r="S113" s="132">
        <v>59666.445303449247</v>
      </c>
      <c r="T113" s="132">
        <v>59028.578048396179</v>
      </c>
      <c r="U113" s="132">
        <v>58476.03229918336</v>
      </c>
      <c r="V113" s="132">
        <v>57988.652407442729</v>
      </c>
      <c r="W113" s="132">
        <v>57552.676237963977</v>
      </c>
      <c r="X113" s="132">
        <v>57158.287819836158</v>
      </c>
      <c r="Y113" s="132">
        <v>56798.239403176842</v>
      </c>
      <c r="Z113" s="132">
        <v>56467.026966825935</v>
      </c>
      <c r="AA113" s="132">
        <v>56160.372148123774</v>
      </c>
      <c r="AD113" s="150">
        <f t="shared" si="3"/>
        <v>108</v>
      </c>
    </row>
    <row r="114" spans="8:31" x14ac:dyDescent="0.2">
      <c r="J114" s="26"/>
      <c r="L114" s="26"/>
      <c r="M114" s="26"/>
      <c r="N114" s="26"/>
      <c r="O114" s="26"/>
      <c r="P114" s="26"/>
      <c r="Q114" s="26"/>
      <c r="R114" s="26"/>
      <c r="S114" s="26"/>
      <c r="T114" s="26"/>
      <c r="U114" s="26"/>
      <c r="V114" s="26"/>
      <c r="W114" s="26"/>
      <c r="X114" s="26"/>
      <c r="Y114" s="26"/>
      <c r="Z114" s="26"/>
      <c r="AA114" s="26"/>
      <c r="AD114" s="150">
        <f t="shared" si="3"/>
        <v>109</v>
      </c>
    </row>
    <row r="115" spans="8:31" x14ac:dyDescent="0.2">
      <c r="H115" s="72" t="s">
        <v>481</v>
      </c>
      <c r="J115" s="58"/>
      <c r="K115" s="21"/>
      <c r="N115" s="26"/>
      <c r="O115" s="26"/>
      <c r="P115" s="26"/>
      <c r="Q115" s="26"/>
      <c r="R115" s="26"/>
      <c r="S115" s="26"/>
      <c r="T115" s="26"/>
      <c r="U115" s="26"/>
      <c r="V115" s="26"/>
      <c r="W115" s="26"/>
      <c r="X115" s="26"/>
      <c r="Y115" s="26"/>
      <c r="Z115" s="26"/>
      <c r="AA115" s="26"/>
      <c r="AD115" s="150">
        <f t="shared" si="3"/>
        <v>110</v>
      </c>
    </row>
    <row r="116" spans="8:31" outlineLevel="1" x14ac:dyDescent="0.2">
      <c r="H116" s="72"/>
      <c r="I116" s="80" t="s">
        <v>310</v>
      </c>
      <c r="J116" s="84"/>
      <c r="K116" s="83"/>
      <c r="L116" s="83"/>
      <c r="M116" s="83"/>
      <c r="N116" s="111"/>
      <c r="O116" s="111"/>
      <c r="P116" s="111"/>
      <c r="Q116" s="111"/>
      <c r="R116" s="111"/>
      <c r="S116" s="111"/>
      <c r="T116" s="111"/>
      <c r="U116" s="111"/>
      <c r="V116" s="111"/>
      <c r="W116" s="111"/>
      <c r="X116" s="111"/>
      <c r="Y116" s="111"/>
      <c r="Z116" s="111"/>
      <c r="AA116" s="111"/>
      <c r="AD116" s="150">
        <f t="shared" ref="AD116:AD178" si="7">ROW(A111)</f>
        <v>111</v>
      </c>
    </row>
    <row r="117" spans="8:31" outlineLevel="1" x14ac:dyDescent="0.2">
      <c r="I117" s="81"/>
      <c r="J117" s="84" t="s">
        <v>443</v>
      </c>
      <c r="K117" s="82"/>
      <c r="L117" s="83"/>
      <c r="M117" s="87"/>
      <c r="N117" s="111"/>
      <c r="O117" s="111"/>
      <c r="P117" s="111"/>
      <c r="Q117" s="111"/>
      <c r="R117" s="111"/>
      <c r="S117" s="111"/>
      <c r="T117" s="111"/>
      <c r="U117" s="111"/>
      <c r="V117" s="111"/>
      <c r="W117" s="111"/>
      <c r="X117" s="111"/>
      <c r="Y117" s="111"/>
      <c r="Z117" s="111"/>
      <c r="AA117" s="111"/>
      <c r="AD117" s="150">
        <f t="shared" si="7"/>
        <v>112</v>
      </c>
    </row>
    <row r="118" spans="8:31" outlineLevel="1" x14ac:dyDescent="0.2">
      <c r="I118" s="81"/>
      <c r="J118" s="84"/>
      <c r="K118" s="82" t="s">
        <v>466</v>
      </c>
      <c r="L118" s="88" t="s">
        <v>445</v>
      </c>
      <c r="M118" s="89">
        <v>58.018018018019006</v>
      </c>
      <c r="N118" s="111"/>
      <c r="O118" s="111"/>
      <c r="P118" s="111"/>
      <c r="Q118" s="111"/>
      <c r="R118" s="111"/>
      <c r="S118" s="111"/>
      <c r="T118" s="111"/>
      <c r="U118" s="111"/>
      <c r="V118" s="111"/>
      <c r="W118" s="111"/>
      <c r="X118" s="111"/>
      <c r="Y118" s="111"/>
      <c r="Z118" s="111"/>
      <c r="AA118" s="111"/>
      <c r="AD118" s="150">
        <f t="shared" si="7"/>
        <v>113</v>
      </c>
      <c r="AE118" s="40" t="s">
        <v>465</v>
      </c>
    </row>
    <row r="119" spans="8:31" outlineLevel="1" x14ac:dyDescent="0.2">
      <c r="I119" s="81"/>
      <c r="J119" s="84"/>
      <c r="K119" s="82"/>
      <c r="L119" s="88" t="s">
        <v>446</v>
      </c>
      <c r="M119" s="89">
        <v>47.927927927927954</v>
      </c>
      <c r="N119" s="111"/>
      <c r="O119" s="111"/>
      <c r="P119" s="111"/>
      <c r="Q119" s="111"/>
      <c r="R119" s="111"/>
      <c r="S119" s="111"/>
      <c r="T119" s="111"/>
      <c r="U119" s="111"/>
      <c r="V119" s="111"/>
      <c r="W119" s="111"/>
      <c r="X119" s="111"/>
      <c r="Y119" s="111"/>
      <c r="Z119" s="111"/>
      <c r="AA119" s="111"/>
      <c r="AD119" s="150">
        <f t="shared" si="7"/>
        <v>114</v>
      </c>
    </row>
    <row r="120" spans="8:31" outlineLevel="1" x14ac:dyDescent="0.2">
      <c r="I120" s="81"/>
      <c r="J120" s="84"/>
      <c r="K120" s="82"/>
      <c r="L120" s="88" t="s">
        <v>447</v>
      </c>
      <c r="M120" s="90">
        <f>M119/M118</f>
        <v>0.82608695652172548</v>
      </c>
      <c r="N120" s="111"/>
      <c r="O120" s="111"/>
      <c r="P120" s="116"/>
      <c r="Q120" s="116"/>
      <c r="R120" s="111"/>
      <c r="S120" s="111"/>
      <c r="T120" s="111"/>
      <c r="U120" s="111"/>
      <c r="V120" s="111"/>
      <c r="W120" s="111"/>
      <c r="X120" s="111"/>
      <c r="Y120" s="111"/>
      <c r="Z120" s="111"/>
      <c r="AA120" s="111"/>
      <c r="AD120" s="150">
        <f t="shared" si="7"/>
        <v>115</v>
      </c>
    </row>
    <row r="121" spans="8:31" outlineLevel="1" x14ac:dyDescent="0.2">
      <c r="I121" s="81"/>
      <c r="J121" s="84" t="s">
        <v>324</v>
      </c>
      <c r="K121" s="83"/>
      <c r="L121" s="83"/>
      <c r="M121" s="83"/>
      <c r="N121" s="111"/>
      <c r="O121" s="111"/>
      <c r="P121" s="111"/>
      <c r="Q121" s="111"/>
      <c r="R121" s="111"/>
      <c r="S121" s="111"/>
      <c r="T121" s="111"/>
      <c r="U121" s="111"/>
      <c r="V121" s="111"/>
      <c r="W121" s="111"/>
      <c r="X121" s="111"/>
      <c r="Y121" s="111"/>
      <c r="Z121" s="111"/>
      <c r="AA121" s="111"/>
      <c r="AD121" s="150">
        <f t="shared" si="7"/>
        <v>116</v>
      </c>
    </row>
    <row r="122" spans="8:31" outlineLevel="1" x14ac:dyDescent="0.2">
      <c r="I122" s="81"/>
      <c r="J122" s="84"/>
      <c r="K122" s="82" t="s">
        <v>482</v>
      </c>
      <c r="L122" s="115">
        <f>AVERAGE(600734,765941)/1000000</f>
        <v>0.68333750000000004</v>
      </c>
      <c r="M122" s="83"/>
      <c r="N122" s="111"/>
      <c r="O122" s="111"/>
      <c r="P122" s="111"/>
      <c r="Q122" s="111"/>
      <c r="R122" s="111"/>
      <c r="S122" s="111"/>
      <c r="T122" s="111"/>
      <c r="U122" s="111"/>
      <c r="V122" s="111"/>
      <c r="W122" s="111"/>
      <c r="X122" s="111"/>
      <c r="Y122" s="111"/>
      <c r="Z122" s="111"/>
      <c r="AA122" s="111"/>
      <c r="AD122" s="150">
        <f t="shared" si="7"/>
        <v>117</v>
      </c>
    </row>
    <row r="123" spans="8:31" outlineLevel="1" x14ac:dyDescent="0.2">
      <c r="I123" s="81"/>
      <c r="J123" s="84"/>
      <c r="K123" s="82" t="s">
        <v>483</v>
      </c>
      <c r="L123" s="115">
        <f>L122*INDEX(US.CPI,MATCH(2022,CPI.years,0))/INDEX(US.CPI,MATCH(2021,CPI.years,0))</f>
        <v>0.68762423332973477</v>
      </c>
      <c r="M123" s="90"/>
      <c r="N123" s="83"/>
      <c r="O123" s="83"/>
      <c r="P123" s="83"/>
      <c r="Q123" s="83"/>
      <c r="R123" s="83"/>
      <c r="S123" s="83"/>
      <c r="T123" s="83"/>
      <c r="U123" s="83"/>
      <c r="V123" s="83"/>
      <c r="W123" s="83"/>
      <c r="X123" s="83"/>
      <c r="Y123" s="83"/>
      <c r="Z123" s="83"/>
      <c r="AA123" s="83"/>
      <c r="AD123" s="150">
        <f t="shared" si="7"/>
        <v>118</v>
      </c>
    </row>
    <row r="124" spans="8:31" outlineLevel="1" x14ac:dyDescent="0.2">
      <c r="I124" s="106" t="s">
        <v>350</v>
      </c>
      <c r="J124" s="84"/>
      <c r="K124" s="82"/>
      <c r="L124" s="115"/>
      <c r="M124" s="90"/>
      <c r="N124" s="83"/>
      <c r="O124" s="83"/>
      <c r="P124" s="83"/>
      <c r="Q124" s="83"/>
      <c r="R124" s="83"/>
      <c r="S124" s="83"/>
      <c r="T124" s="83"/>
      <c r="U124" s="83"/>
      <c r="V124" s="83"/>
      <c r="W124" s="83"/>
      <c r="X124" s="83"/>
      <c r="Y124" s="83"/>
      <c r="Z124" s="83"/>
      <c r="AA124" s="83"/>
      <c r="AD124" s="150">
        <f t="shared" si="7"/>
        <v>119</v>
      </c>
    </row>
    <row r="125" spans="8:31" outlineLevel="1" x14ac:dyDescent="0.2">
      <c r="I125" s="81"/>
      <c r="J125" s="84"/>
      <c r="K125" s="82" t="s">
        <v>484</v>
      </c>
      <c r="L125" s="115">
        <v>0.79180000000000006</v>
      </c>
      <c r="M125" s="90"/>
      <c r="N125" s="83"/>
      <c r="O125" s="83"/>
      <c r="P125" s="83"/>
      <c r="Q125" s="83"/>
      <c r="R125" s="83"/>
      <c r="S125" s="83"/>
      <c r="T125" s="83"/>
      <c r="U125" s="83"/>
      <c r="V125" s="83"/>
      <c r="W125" s="83"/>
      <c r="X125" s="83"/>
      <c r="Y125" s="83"/>
      <c r="Z125" s="83"/>
      <c r="AA125" s="83"/>
      <c r="AD125" s="150">
        <f t="shared" si="7"/>
        <v>120</v>
      </c>
    </row>
    <row r="126" spans="8:31" outlineLevel="1" x14ac:dyDescent="0.2">
      <c r="I126" s="81"/>
      <c r="J126" s="84"/>
      <c r="K126" s="82" t="s">
        <v>485</v>
      </c>
      <c r="L126" s="115">
        <v>0.74</v>
      </c>
      <c r="M126" s="90"/>
      <c r="N126" s="83"/>
      <c r="O126" s="83"/>
      <c r="P126" s="83"/>
      <c r="Q126" s="83"/>
      <c r="R126" s="83"/>
      <c r="S126" s="83"/>
      <c r="T126" s="83"/>
      <c r="U126" s="83"/>
      <c r="V126" s="83"/>
      <c r="W126" s="83"/>
      <c r="X126" s="83"/>
      <c r="Y126" s="83"/>
      <c r="Z126" s="83"/>
      <c r="AA126" s="83"/>
      <c r="AD126" s="150">
        <f t="shared" si="7"/>
        <v>121</v>
      </c>
    </row>
    <row r="127" spans="8:31" outlineLevel="1" x14ac:dyDescent="0.2">
      <c r="I127" s="138"/>
      <c r="J127" s="138"/>
      <c r="K127" s="138"/>
      <c r="L127" s="139"/>
      <c r="M127" s="139"/>
      <c r="N127" s="139"/>
      <c r="O127" s="139"/>
      <c r="P127" s="139"/>
      <c r="Q127" s="139"/>
      <c r="R127" s="140"/>
      <c r="S127" s="140"/>
      <c r="T127" s="140"/>
      <c r="U127" s="140"/>
      <c r="V127" s="140"/>
      <c r="W127" s="140"/>
      <c r="X127" s="140"/>
      <c r="Y127" s="140"/>
      <c r="Z127" s="140"/>
      <c r="AA127" s="140"/>
      <c r="AD127" s="150">
        <f t="shared" si="7"/>
        <v>122</v>
      </c>
    </row>
    <row r="128" spans="8:31" outlineLevel="1" x14ac:dyDescent="0.2">
      <c r="I128" s="103" t="s">
        <v>355</v>
      </c>
      <c r="J128" s="92"/>
      <c r="K128" s="93"/>
      <c r="L128" s="133"/>
      <c r="M128" s="108"/>
      <c r="N128" s="94"/>
      <c r="O128" s="94"/>
      <c r="P128" s="94"/>
      <c r="Q128" s="94"/>
      <c r="R128" s="94"/>
      <c r="S128" s="94"/>
      <c r="T128" s="94"/>
      <c r="U128" s="94"/>
      <c r="V128" s="94"/>
      <c r="W128" s="94"/>
      <c r="X128" s="94"/>
      <c r="Y128" s="94"/>
      <c r="Z128" s="94"/>
      <c r="AA128" s="94"/>
      <c r="AD128" s="150">
        <f t="shared" si="7"/>
        <v>123</v>
      </c>
    </row>
    <row r="129" spans="8:30" outlineLevel="1" x14ac:dyDescent="0.2">
      <c r="I129" s="96"/>
      <c r="J129" s="93" t="s">
        <v>486</v>
      </c>
      <c r="K129" s="93"/>
      <c r="L129" s="133"/>
      <c r="M129" s="108"/>
      <c r="N129" s="94"/>
      <c r="O129" s="94"/>
      <c r="P129" s="94"/>
      <c r="Q129" s="94"/>
      <c r="R129" s="94"/>
      <c r="S129" s="94"/>
      <c r="T129" s="94"/>
      <c r="U129" s="94"/>
      <c r="V129" s="94"/>
      <c r="W129" s="94"/>
      <c r="X129" s="94"/>
      <c r="Y129" s="94"/>
      <c r="Z129" s="94"/>
      <c r="AA129" s="94"/>
      <c r="AD129" s="150">
        <f t="shared" si="7"/>
        <v>124</v>
      </c>
    </row>
    <row r="130" spans="8:30" outlineLevel="1" x14ac:dyDescent="0.2">
      <c r="I130" s="96"/>
      <c r="J130" s="92"/>
      <c r="K130" s="105" t="s">
        <v>357</v>
      </c>
      <c r="L130" s="133"/>
      <c r="M130" s="133"/>
      <c r="N130" s="133">
        <f t="shared" ref="N130:AA130" si="8">$L$123*$M$120*USD_to_CAD</f>
        <v>0.73844863318452902</v>
      </c>
      <c r="O130" s="133">
        <f t="shared" si="8"/>
        <v>0.73844863318452902</v>
      </c>
      <c r="P130" s="133">
        <f t="shared" si="8"/>
        <v>0.73844863318452902</v>
      </c>
      <c r="Q130" s="133">
        <f t="shared" si="8"/>
        <v>0.73844863318452902</v>
      </c>
      <c r="R130" s="133">
        <f t="shared" si="8"/>
        <v>0.73844863318452902</v>
      </c>
      <c r="S130" s="133">
        <f t="shared" si="8"/>
        <v>0.73844863318452902</v>
      </c>
      <c r="T130" s="133">
        <f t="shared" si="8"/>
        <v>0.73844863318452902</v>
      </c>
      <c r="U130" s="133">
        <f t="shared" si="8"/>
        <v>0.73844863318452902</v>
      </c>
      <c r="V130" s="133">
        <f t="shared" si="8"/>
        <v>0.73844863318452902</v>
      </c>
      <c r="W130" s="133">
        <f t="shared" si="8"/>
        <v>0.73844863318452902</v>
      </c>
      <c r="X130" s="133">
        <f t="shared" si="8"/>
        <v>0.73844863318452902</v>
      </c>
      <c r="Y130" s="133">
        <f t="shared" si="8"/>
        <v>0.73844863318452902</v>
      </c>
      <c r="Z130" s="133">
        <f t="shared" si="8"/>
        <v>0.73844863318452902</v>
      </c>
      <c r="AA130" s="133">
        <f t="shared" si="8"/>
        <v>0.73844863318452902</v>
      </c>
      <c r="AD130" s="150">
        <f t="shared" si="7"/>
        <v>125</v>
      </c>
    </row>
    <row r="131" spans="8:30" outlineLevel="1" x14ac:dyDescent="0.2">
      <c r="I131" s="96"/>
      <c r="J131" s="92"/>
      <c r="K131" s="105" t="s">
        <v>358</v>
      </c>
      <c r="L131" s="133"/>
      <c r="M131" s="133"/>
      <c r="N131" s="133" cm="1">
        <f t="array" ref="N131:AA131">($L$125/$N$130)*forecast_solar.grid.connection.costs_CA</f>
        <v>0.79180000000000006</v>
      </c>
      <c r="O131" s="133">
        <v>0.79180000000000006</v>
      </c>
      <c r="P131" s="133">
        <v>0.79180000000000006</v>
      </c>
      <c r="Q131" s="133">
        <v>0.79180000000000006</v>
      </c>
      <c r="R131" s="133">
        <v>0.79180000000000006</v>
      </c>
      <c r="S131" s="133">
        <v>0.79180000000000006</v>
      </c>
      <c r="T131" s="133">
        <v>0.79180000000000006</v>
      </c>
      <c r="U131" s="133">
        <v>0.79180000000000006</v>
      </c>
      <c r="V131" s="133">
        <v>0.79180000000000006</v>
      </c>
      <c r="W131" s="133">
        <v>0.79180000000000006</v>
      </c>
      <c r="X131" s="133">
        <v>0.79180000000000006</v>
      </c>
      <c r="Y131" s="133">
        <v>0.79180000000000006</v>
      </c>
      <c r="Z131" s="133">
        <v>0.79180000000000006</v>
      </c>
      <c r="AA131" s="133">
        <v>0.79180000000000006</v>
      </c>
      <c r="AD131" s="150">
        <f t="shared" si="7"/>
        <v>126</v>
      </c>
    </row>
    <row r="132" spans="8:30" outlineLevel="1" x14ac:dyDescent="0.2">
      <c r="I132" s="96"/>
      <c r="J132" s="92"/>
      <c r="K132" s="105" t="s">
        <v>359</v>
      </c>
      <c r="L132" s="133"/>
      <c r="M132" s="133"/>
      <c r="N132" s="133" cm="1">
        <f t="array" ref="N132:AA132">($L$126/$N$130)*forecast_solar.grid.connection.costs_CA</f>
        <v>0.73999999999999988</v>
      </c>
      <c r="O132" s="133">
        <v>0.73999999999999988</v>
      </c>
      <c r="P132" s="133">
        <v>0.73999999999999988</v>
      </c>
      <c r="Q132" s="133">
        <v>0.73999999999999988</v>
      </c>
      <c r="R132" s="133">
        <v>0.73999999999999988</v>
      </c>
      <c r="S132" s="133">
        <v>0.73999999999999988</v>
      </c>
      <c r="T132" s="133">
        <v>0.73999999999999988</v>
      </c>
      <c r="U132" s="133">
        <v>0.73999999999999988</v>
      </c>
      <c r="V132" s="133">
        <v>0.73999999999999988</v>
      </c>
      <c r="W132" s="133">
        <v>0.73999999999999988</v>
      </c>
      <c r="X132" s="133">
        <v>0.73999999999999988</v>
      </c>
      <c r="Y132" s="133">
        <v>0.73999999999999988</v>
      </c>
      <c r="Z132" s="133">
        <v>0.73999999999999988</v>
      </c>
      <c r="AA132" s="133">
        <v>0.73999999999999988</v>
      </c>
      <c r="AD132" s="150">
        <f t="shared" si="7"/>
        <v>127</v>
      </c>
    </row>
    <row r="133" spans="8:30" x14ac:dyDescent="0.2">
      <c r="J133" s="58"/>
      <c r="L133" s="77"/>
      <c r="M133" s="35"/>
      <c r="AD133" s="150">
        <f t="shared" si="7"/>
        <v>128</v>
      </c>
    </row>
    <row r="134" spans="8:30" x14ac:dyDescent="0.2">
      <c r="H134" s="72" t="s">
        <v>487</v>
      </c>
      <c r="J134" s="58"/>
      <c r="L134" s="77"/>
      <c r="M134" s="35"/>
      <c r="AD134" s="150">
        <f t="shared" si="7"/>
        <v>129</v>
      </c>
    </row>
    <row r="135" spans="8:30" outlineLevel="1" x14ac:dyDescent="0.2">
      <c r="I135" s="80" t="s">
        <v>310</v>
      </c>
      <c r="J135" s="84"/>
      <c r="K135" s="82"/>
      <c r="L135" s="82"/>
      <c r="M135" s="82"/>
      <c r="N135" s="82"/>
      <c r="O135" s="82"/>
      <c r="P135" s="82"/>
      <c r="Q135" s="82"/>
      <c r="R135" s="82"/>
      <c r="S135" s="82"/>
      <c r="T135" s="82"/>
      <c r="U135" s="82"/>
      <c r="V135" s="82"/>
      <c r="W135" s="82"/>
      <c r="X135" s="82"/>
      <c r="Y135" s="82"/>
      <c r="Z135" s="82"/>
      <c r="AA135" s="82"/>
      <c r="AD135" s="150">
        <f t="shared" si="7"/>
        <v>130</v>
      </c>
    </row>
    <row r="136" spans="8:30" outlineLevel="1" x14ac:dyDescent="0.2">
      <c r="I136" s="81"/>
      <c r="J136" s="107" t="s">
        <v>324</v>
      </c>
      <c r="K136" s="82"/>
      <c r="L136" s="82"/>
      <c r="M136" s="82"/>
      <c r="N136" s="82"/>
      <c r="O136" s="82"/>
      <c r="P136" s="82"/>
      <c r="Q136" s="82"/>
      <c r="R136" s="82"/>
      <c r="S136" s="82"/>
      <c r="T136" s="82"/>
      <c r="U136" s="82"/>
      <c r="V136" s="82"/>
      <c r="W136" s="82"/>
      <c r="X136" s="82"/>
      <c r="Y136" s="82"/>
      <c r="Z136" s="82"/>
      <c r="AA136" s="82"/>
      <c r="AD136" s="150">
        <f t="shared" si="7"/>
        <v>131</v>
      </c>
    </row>
    <row r="137" spans="8:30" outlineLevel="1" x14ac:dyDescent="0.2">
      <c r="I137" s="81"/>
      <c r="J137" s="84"/>
      <c r="K137" s="82" t="s">
        <v>488</v>
      </c>
      <c r="L137" s="82"/>
      <c r="M137" s="82"/>
      <c r="N137" s="115">
        <f>AVERAGE(11.1,13.5)</f>
        <v>12.3</v>
      </c>
      <c r="O137" s="82"/>
      <c r="P137" s="82"/>
      <c r="Q137" s="82"/>
      <c r="R137" s="82"/>
      <c r="S137" s="82"/>
      <c r="T137" s="82"/>
      <c r="U137" s="82"/>
      <c r="V137" s="82"/>
      <c r="W137" s="82"/>
      <c r="X137" s="82"/>
      <c r="Y137" s="82"/>
      <c r="Z137" s="82"/>
      <c r="AA137" s="82"/>
      <c r="AD137" s="150">
        <f t="shared" si="7"/>
        <v>132</v>
      </c>
    </row>
    <row r="138" spans="8:30" outlineLevel="1" x14ac:dyDescent="0.2">
      <c r="I138" s="81"/>
      <c r="J138" s="84"/>
      <c r="K138" s="82" t="s">
        <v>489</v>
      </c>
      <c r="L138" s="82"/>
      <c r="M138" s="82"/>
      <c r="N138" s="115">
        <f>N137*INDEX(US.CPI,MATCH(2022,CPI.years,0))/INDEX(US.CPI,MATCH(2021,CPI.years,0))</f>
        <v>12.377160729442974</v>
      </c>
      <c r="O138" s="82"/>
      <c r="P138" s="82"/>
      <c r="Q138" s="82"/>
      <c r="R138" s="82"/>
      <c r="S138" s="82"/>
      <c r="T138" s="82"/>
      <c r="U138" s="82"/>
      <c r="V138" s="82"/>
      <c r="W138" s="82"/>
      <c r="X138" s="82"/>
      <c r="Y138" s="82"/>
      <c r="Z138" s="82"/>
      <c r="AA138" s="82"/>
      <c r="AD138" s="150">
        <f t="shared" si="7"/>
        <v>133</v>
      </c>
    </row>
    <row r="139" spans="8:30" outlineLevel="1" x14ac:dyDescent="0.2">
      <c r="I139" s="106" t="s">
        <v>490</v>
      </c>
      <c r="J139" s="107"/>
      <c r="K139" s="82"/>
      <c r="L139" s="82"/>
      <c r="M139" s="82"/>
      <c r="N139" s="82"/>
      <c r="O139" s="82"/>
      <c r="P139" s="82"/>
      <c r="Q139" s="82"/>
      <c r="R139" s="82"/>
      <c r="S139" s="82"/>
      <c r="T139" s="82"/>
      <c r="U139" s="82"/>
      <c r="V139" s="82"/>
      <c r="W139" s="82"/>
      <c r="X139" s="82"/>
      <c r="Y139" s="82"/>
      <c r="Z139" s="82"/>
      <c r="AA139" s="82"/>
      <c r="AD139" s="150">
        <f t="shared" si="7"/>
        <v>134</v>
      </c>
    </row>
    <row r="140" spans="8:30" outlineLevel="1" x14ac:dyDescent="0.2">
      <c r="I140" s="106"/>
      <c r="J140" s="107" t="s">
        <v>491</v>
      </c>
      <c r="K140" s="82"/>
      <c r="L140" s="82"/>
      <c r="M140" s="82"/>
      <c r="N140" s="82"/>
      <c r="O140" s="82"/>
      <c r="P140" s="82"/>
      <c r="Q140" s="82"/>
      <c r="R140" s="82"/>
      <c r="S140" s="82"/>
      <c r="T140" s="82"/>
      <c r="U140" s="82"/>
      <c r="V140" s="82"/>
      <c r="W140" s="82"/>
      <c r="X140" s="82"/>
      <c r="Y140" s="82"/>
      <c r="Z140" s="82"/>
      <c r="AA140" s="82"/>
      <c r="AD140" s="150">
        <f t="shared" si="7"/>
        <v>135</v>
      </c>
    </row>
    <row r="141" spans="8:30" outlineLevel="1" x14ac:dyDescent="0.2">
      <c r="I141" s="106"/>
      <c r="J141" s="107"/>
      <c r="K141" s="82" t="s">
        <v>352</v>
      </c>
      <c r="L141" s="82"/>
      <c r="M141" s="82"/>
      <c r="N141" s="135">
        <v>17.216630574655216</v>
      </c>
      <c r="O141" s="82"/>
      <c r="P141" s="82"/>
      <c r="Q141" s="82"/>
      <c r="R141" s="82"/>
      <c r="S141" s="82"/>
      <c r="T141" s="82"/>
      <c r="U141" s="82"/>
      <c r="V141" s="82"/>
      <c r="W141" s="82"/>
      <c r="X141" s="82"/>
      <c r="Y141" s="82"/>
      <c r="Z141" s="82"/>
      <c r="AA141" s="82"/>
      <c r="AD141" s="150">
        <f t="shared" si="7"/>
        <v>136</v>
      </c>
    </row>
    <row r="142" spans="8:30" outlineLevel="1" x14ac:dyDescent="0.2">
      <c r="I142" s="106"/>
      <c r="J142" s="107"/>
      <c r="K142" s="88" t="s">
        <v>492</v>
      </c>
      <c r="L142" s="88"/>
      <c r="M142" s="88"/>
      <c r="N142" s="134">
        <f>AVERAGE(N141:N141)</f>
        <v>17.216630574655216</v>
      </c>
      <c r="O142" s="82"/>
      <c r="P142" s="82"/>
      <c r="Q142" s="82"/>
      <c r="R142" s="82"/>
      <c r="S142" s="82"/>
      <c r="T142" s="82"/>
      <c r="U142" s="82"/>
      <c r="V142" s="82"/>
      <c r="W142" s="82"/>
      <c r="X142" s="82"/>
      <c r="Y142" s="82"/>
      <c r="Z142" s="82"/>
      <c r="AA142" s="82"/>
      <c r="AD142" s="150">
        <f>ROW(A140)</f>
        <v>140</v>
      </c>
    </row>
    <row r="143" spans="8:30" outlineLevel="1" x14ac:dyDescent="0.2">
      <c r="I143" s="83"/>
      <c r="J143" s="107" t="s">
        <v>493</v>
      </c>
      <c r="K143" s="82"/>
      <c r="L143" s="82"/>
      <c r="M143" s="82"/>
      <c r="N143" s="118"/>
      <c r="O143" s="82"/>
      <c r="P143" s="82"/>
      <c r="Q143" s="82"/>
      <c r="R143" s="82"/>
      <c r="S143" s="82"/>
      <c r="T143" s="82"/>
      <c r="U143" s="82"/>
      <c r="V143" s="82"/>
      <c r="W143" s="82"/>
      <c r="X143" s="82"/>
      <c r="Y143" s="82"/>
      <c r="Z143" s="82"/>
      <c r="AA143" s="82"/>
      <c r="AD143" s="150">
        <f>ROW(A141)</f>
        <v>141</v>
      </c>
    </row>
    <row r="144" spans="8:30" outlineLevel="1" x14ac:dyDescent="0.2">
      <c r="I144" s="83"/>
      <c r="J144" s="107"/>
      <c r="K144" s="82" t="s">
        <v>352</v>
      </c>
      <c r="L144" s="82"/>
      <c r="M144" s="82"/>
      <c r="N144" s="135">
        <v>16.090308948275865</v>
      </c>
      <c r="O144" s="82"/>
      <c r="P144" s="82"/>
      <c r="Q144" s="82"/>
      <c r="R144" s="82"/>
      <c r="S144" s="82"/>
      <c r="T144" s="82"/>
      <c r="U144" s="82"/>
      <c r="V144" s="82"/>
      <c r="W144" s="82"/>
      <c r="X144" s="82"/>
      <c r="Y144" s="82"/>
      <c r="Z144" s="82"/>
      <c r="AA144" s="82"/>
      <c r="AD144" s="150" t="e">
        <f>ROW(#REF!)</f>
        <v>#REF!</v>
      </c>
    </row>
    <row r="145" spans="9:30" outlineLevel="1" x14ac:dyDescent="0.2">
      <c r="I145" s="83"/>
      <c r="J145" s="107"/>
      <c r="K145" s="88" t="s">
        <v>493</v>
      </c>
      <c r="L145" s="88"/>
      <c r="M145" s="88"/>
      <c r="N145" s="134">
        <f>AVERAGE(N144:N144)</f>
        <v>16.090308948275865</v>
      </c>
      <c r="O145" s="82"/>
      <c r="P145" s="82"/>
      <c r="Q145" s="82"/>
      <c r="R145" s="82"/>
      <c r="S145" s="82"/>
      <c r="T145" s="82"/>
      <c r="U145" s="82"/>
      <c r="V145" s="82"/>
      <c r="W145" s="82"/>
      <c r="X145" s="82"/>
      <c r="Y145" s="82"/>
      <c r="Z145" s="82"/>
      <c r="AA145" s="82"/>
      <c r="AD145" s="150">
        <f>ROW(A143)</f>
        <v>143</v>
      </c>
    </row>
    <row r="146" spans="9:30" outlineLevel="1" x14ac:dyDescent="0.2">
      <c r="I146" s="106" t="s">
        <v>494</v>
      </c>
      <c r="J146" s="107"/>
      <c r="K146" s="88"/>
      <c r="L146" s="88"/>
      <c r="M146" s="88"/>
      <c r="N146" s="134"/>
      <c r="O146" s="82"/>
      <c r="P146" s="82"/>
      <c r="Q146" s="82"/>
      <c r="R146" s="82"/>
      <c r="S146" s="82"/>
      <c r="T146" s="82"/>
      <c r="U146" s="82"/>
      <c r="V146" s="82"/>
      <c r="W146" s="82"/>
      <c r="X146" s="82"/>
      <c r="Y146" s="82"/>
      <c r="Z146" s="82"/>
      <c r="AA146" s="82"/>
      <c r="AD146" s="150">
        <f>ROW(A144)</f>
        <v>144</v>
      </c>
    </row>
    <row r="147" spans="9:30" outlineLevel="1" x14ac:dyDescent="0.2">
      <c r="I147" s="106"/>
      <c r="J147" s="84" t="s">
        <v>495</v>
      </c>
      <c r="K147" s="88"/>
      <c r="L147" s="88"/>
      <c r="M147" s="88"/>
      <c r="N147" s="134" t="s">
        <v>496</v>
      </c>
      <c r="O147" s="88" t="s">
        <v>497</v>
      </c>
      <c r="P147" s="82"/>
      <c r="Q147" s="82"/>
      <c r="R147" s="82"/>
      <c r="S147" s="82"/>
      <c r="T147" s="82"/>
      <c r="U147" s="82"/>
      <c r="V147" s="82"/>
      <c r="W147" s="82"/>
      <c r="X147" s="82"/>
      <c r="Y147" s="82"/>
      <c r="Z147" s="82"/>
      <c r="AA147" s="82"/>
      <c r="AD147" s="150" t="e">
        <f>ROW(#REF!)</f>
        <v>#REF!</v>
      </c>
    </row>
    <row r="148" spans="9:30" outlineLevel="1" x14ac:dyDescent="0.2">
      <c r="I148" s="83"/>
      <c r="J148" s="107"/>
      <c r="K148" s="88" t="s">
        <v>446</v>
      </c>
      <c r="L148" s="88"/>
      <c r="M148" s="88"/>
      <c r="N148" s="111">
        <f>P155</f>
        <v>32.07</v>
      </c>
      <c r="O148" s="87">
        <f>Q155</f>
        <v>2.0047673316640147E-2</v>
      </c>
      <c r="P148" s="82"/>
      <c r="Q148" s="82"/>
      <c r="R148" s="82"/>
      <c r="S148" s="82"/>
      <c r="T148" s="82"/>
      <c r="U148" s="82"/>
      <c r="V148" s="82"/>
      <c r="W148" s="82"/>
      <c r="X148" s="82"/>
      <c r="Y148" s="82"/>
      <c r="Z148" s="82"/>
      <c r="AA148" s="82"/>
      <c r="AD148" s="150" t="e">
        <f>ROW(#REF!)</f>
        <v>#REF!</v>
      </c>
    </row>
    <row r="149" spans="9:30" outlineLevel="1" x14ac:dyDescent="0.2">
      <c r="I149" s="83"/>
      <c r="J149" s="107"/>
      <c r="K149" s="88" t="s">
        <v>9</v>
      </c>
      <c r="L149" s="88"/>
      <c r="M149" s="88"/>
      <c r="N149" s="111">
        <f>P153</f>
        <v>31.93</v>
      </c>
      <c r="O149" s="87">
        <v>2.5000000000000001E-2</v>
      </c>
      <c r="P149" s="82"/>
      <c r="Q149" s="82"/>
      <c r="R149" s="82"/>
      <c r="S149" s="82"/>
      <c r="T149" s="82"/>
      <c r="U149" s="82"/>
      <c r="V149" s="82"/>
      <c r="W149" s="82"/>
      <c r="X149" s="82"/>
      <c r="Y149" s="82"/>
      <c r="Z149" s="82"/>
      <c r="AA149" s="82"/>
      <c r="AD149" s="150" t="e">
        <f>ROW(#REF!)</f>
        <v>#REF!</v>
      </c>
    </row>
    <row r="150" spans="9:30" outlineLevel="1" x14ac:dyDescent="0.2">
      <c r="I150" s="83"/>
      <c r="J150" s="107"/>
      <c r="K150" s="88" t="s">
        <v>498</v>
      </c>
      <c r="L150" s="88"/>
      <c r="M150" s="88"/>
      <c r="N150" s="111">
        <f>P154</f>
        <v>34.67</v>
      </c>
      <c r="O150" s="87">
        <v>0.04</v>
      </c>
      <c r="P150" s="82"/>
      <c r="Q150" s="82"/>
      <c r="R150" s="82"/>
      <c r="S150" s="82"/>
      <c r="T150" s="82"/>
      <c r="U150" s="82"/>
      <c r="V150" s="82"/>
      <c r="W150" s="82"/>
      <c r="X150" s="82"/>
      <c r="Y150" s="82"/>
      <c r="Z150" s="82"/>
      <c r="AA150" s="82"/>
      <c r="AD150" s="150">
        <f t="shared" si="7"/>
        <v>145</v>
      </c>
    </row>
    <row r="151" spans="9:30" outlineLevel="1" x14ac:dyDescent="0.2">
      <c r="I151" s="83"/>
      <c r="J151" s="84" t="s">
        <v>499</v>
      </c>
      <c r="K151" s="88"/>
      <c r="L151" s="88"/>
      <c r="M151" s="88"/>
      <c r="N151" s="111"/>
      <c r="O151" s="87"/>
      <c r="P151" s="82"/>
      <c r="Q151" s="82"/>
      <c r="R151" s="82"/>
      <c r="S151" s="82"/>
      <c r="T151" s="82"/>
      <c r="U151" s="82"/>
      <c r="V151" s="82"/>
      <c r="W151" s="82"/>
      <c r="X151" s="82"/>
      <c r="Y151" s="82"/>
      <c r="Z151" s="82"/>
      <c r="AA151" s="82"/>
      <c r="AD151" s="150"/>
    </row>
    <row r="152" spans="9:30" outlineLevel="1" x14ac:dyDescent="0.2">
      <c r="I152" s="83"/>
      <c r="J152" s="107"/>
      <c r="K152" s="88" t="s">
        <v>500</v>
      </c>
      <c r="L152" s="328">
        <v>2017</v>
      </c>
      <c r="M152" s="328">
        <v>2018</v>
      </c>
      <c r="N152" s="328">
        <v>2019</v>
      </c>
      <c r="O152" s="328">
        <v>2020</v>
      </c>
      <c r="P152" s="328">
        <v>2021</v>
      </c>
      <c r="Q152" s="88" t="s">
        <v>501</v>
      </c>
      <c r="R152" s="82"/>
      <c r="S152" s="82"/>
      <c r="T152" s="82"/>
      <c r="U152" s="82"/>
      <c r="V152" s="82"/>
      <c r="W152" s="82"/>
      <c r="X152" s="82"/>
      <c r="Y152" s="82"/>
      <c r="Z152" s="82"/>
      <c r="AA152" s="82"/>
      <c r="AD152" s="150"/>
    </row>
    <row r="153" spans="9:30" outlineLevel="1" x14ac:dyDescent="0.2">
      <c r="I153" s="83"/>
      <c r="J153" s="107"/>
      <c r="K153" s="88" t="s">
        <v>9</v>
      </c>
      <c r="L153" s="111">
        <v>27.77</v>
      </c>
      <c r="M153" s="111">
        <v>28.44</v>
      </c>
      <c r="N153" s="111">
        <v>30.55</v>
      </c>
      <c r="O153" s="111">
        <v>31.31</v>
      </c>
      <c r="P153" s="111">
        <v>31.93</v>
      </c>
      <c r="Q153" s="87">
        <f>(P153/L153)^(1/COUNT(L153:P153))-1</f>
        <v>2.8311298846212418E-2</v>
      </c>
      <c r="R153" s="82"/>
      <c r="S153" s="82"/>
      <c r="T153" s="82"/>
      <c r="U153" s="82"/>
      <c r="V153" s="82"/>
      <c r="W153" s="82"/>
      <c r="X153" s="82"/>
      <c r="Y153" s="82"/>
      <c r="Z153" s="82"/>
      <c r="AA153" s="82"/>
      <c r="AD153" s="150"/>
    </row>
    <row r="154" spans="9:30" outlineLevel="1" x14ac:dyDescent="0.2">
      <c r="I154" s="83"/>
      <c r="J154" s="107"/>
      <c r="K154" s="88" t="s">
        <v>498</v>
      </c>
      <c r="L154" s="111">
        <v>33.32</v>
      </c>
      <c r="M154" s="111">
        <v>33.119999999999997</v>
      </c>
      <c r="N154" s="111">
        <v>34.17</v>
      </c>
      <c r="O154" s="111">
        <v>35.25</v>
      </c>
      <c r="P154" s="111">
        <v>34.67</v>
      </c>
      <c r="Q154" s="87">
        <f>(P154/L154)^(1/COUNT(L154:P154))-1</f>
        <v>7.9750208906319564E-3</v>
      </c>
      <c r="R154" s="82"/>
      <c r="S154" s="82"/>
      <c r="T154" s="82"/>
      <c r="U154" s="82"/>
      <c r="V154" s="82"/>
      <c r="W154" s="82"/>
      <c r="X154" s="82"/>
      <c r="Y154" s="82"/>
      <c r="Z154" s="82"/>
      <c r="AA154" s="82"/>
      <c r="AD154" s="150"/>
    </row>
    <row r="155" spans="9:30" outlineLevel="1" x14ac:dyDescent="0.2">
      <c r="I155" s="83"/>
      <c r="J155" s="107"/>
      <c r="K155" s="88" t="s">
        <v>446</v>
      </c>
      <c r="L155" s="111">
        <v>29.04</v>
      </c>
      <c r="M155" s="111">
        <v>29.55</v>
      </c>
      <c r="N155" s="111">
        <v>30.69</v>
      </c>
      <c r="O155" s="111">
        <v>31.65</v>
      </c>
      <c r="P155" s="111">
        <v>32.07</v>
      </c>
      <c r="Q155" s="87">
        <f>(P155/L155)^(1/COUNT(L155:P155))-1</f>
        <v>2.0047673316640147E-2</v>
      </c>
      <c r="R155" s="82"/>
      <c r="S155" s="82"/>
      <c r="T155" s="82"/>
      <c r="U155" s="82"/>
      <c r="V155" s="82"/>
      <c r="W155" s="82"/>
      <c r="X155" s="82"/>
      <c r="Y155" s="82"/>
      <c r="Z155" s="82"/>
      <c r="AA155" s="82"/>
      <c r="AD155" s="150"/>
    </row>
    <row r="156" spans="9:30" outlineLevel="1" x14ac:dyDescent="0.2">
      <c r="I156" s="138"/>
      <c r="J156" s="138"/>
      <c r="K156" s="138"/>
      <c r="L156" s="139"/>
      <c r="M156" s="139"/>
      <c r="N156" s="139"/>
      <c r="O156" s="139"/>
      <c r="P156" s="139"/>
      <c r="Q156" s="139"/>
      <c r="R156" s="139"/>
      <c r="S156" s="139"/>
      <c r="T156" s="139"/>
      <c r="U156" s="139"/>
      <c r="V156" s="139"/>
      <c r="W156" s="139"/>
      <c r="X156" s="139"/>
      <c r="Y156" s="139"/>
      <c r="Z156" s="139"/>
      <c r="AA156" s="139"/>
      <c r="AD156" s="150">
        <f>ROW(A146)</f>
        <v>146</v>
      </c>
    </row>
    <row r="157" spans="9:30" outlineLevel="1" x14ac:dyDescent="0.2">
      <c r="I157" s="103" t="s">
        <v>355</v>
      </c>
      <c r="J157" s="92"/>
      <c r="K157" s="93"/>
      <c r="L157" s="133"/>
      <c r="M157" s="133"/>
      <c r="N157" s="133"/>
      <c r="O157" s="133"/>
      <c r="P157" s="133"/>
      <c r="Q157" s="133"/>
      <c r="R157" s="133"/>
      <c r="S157" s="133"/>
      <c r="T157" s="133"/>
      <c r="U157" s="133"/>
      <c r="V157" s="133"/>
      <c r="W157" s="133"/>
      <c r="X157" s="133"/>
      <c r="Y157" s="133"/>
      <c r="Z157" s="133"/>
      <c r="AA157" s="133"/>
      <c r="AD157" s="150">
        <f>ROW(A147)</f>
        <v>147</v>
      </c>
    </row>
    <row r="158" spans="9:30" outlineLevel="1" x14ac:dyDescent="0.2">
      <c r="I158" s="96"/>
      <c r="J158" s="105" t="s">
        <v>502</v>
      </c>
      <c r="K158" s="93"/>
      <c r="L158" s="133"/>
      <c r="M158" s="133"/>
      <c r="N158" s="133"/>
      <c r="O158" s="133"/>
      <c r="P158" s="133"/>
      <c r="Q158" s="133"/>
      <c r="R158" s="133"/>
      <c r="S158" s="133"/>
      <c r="T158" s="133"/>
      <c r="U158" s="133"/>
      <c r="V158" s="133"/>
      <c r="W158" s="133"/>
      <c r="X158" s="133"/>
      <c r="Y158" s="133"/>
      <c r="Z158" s="133"/>
      <c r="AA158" s="133"/>
      <c r="AD158" s="150">
        <f>ROW(A148)</f>
        <v>148</v>
      </c>
    </row>
    <row r="159" spans="9:30" outlineLevel="1" x14ac:dyDescent="0.2">
      <c r="I159" s="96"/>
      <c r="J159" s="92"/>
      <c r="K159" s="105" t="s">
        <v>357</v>
      </c>
      <c r="L159" s="133"/>
      <c r="M159" s="133"/>
      <c r="N159" s="133">
        <f t="shared" ref="N159:AA159" si="9">$N$138*USD_to_CAD</f>
        <v>16.090308948275865</v>
      </c>
      <c r="O159" s="133">
        <f t="shared" si="9"/>
        <v>16.090308948275865</v>
      </c>
      <c r="P159" s="133">
        <f t="shared" si="9"/>
        <v>16.090308948275865</v>
      </c>
      <c r="Q159" s="133">
        <f t="shared" si="9"/>
        <v>16.090308948275865</v>
      </c>
      <c r="R159" s="133">
        <f t="shared" si="9"/>
        <v>16.090308948275865</v>
      </c>
      <c r="S159" s="133">
        <f t="shared" si="9"/>
        <v>16.090308948275865</v>
      </c>
      <c r="T159" s="133">
        <f t="shared" si="9"/>
        <v>16.090308948275865</v>
      </c>
      <c r="U159" s="133">
        <f t="shared" si="9"/>
        <v>16.090308948275865</v>
      </c>
      <c r="V159" s="133">
        <f t="shared" si="9"/>
        <v>16.090308948275865</v>
      </c>
      <c r="W159" s="133">
        <f t="shared" si="9"/>
        <v>16.090308948275865</v>
      </c>
      <c r="X159" s="133">
        <f t="shared" si="9"/>
        <v>16.090308948275865</v>
      </c>
      <c r="Y159" s="133">
        <f t="shared" si="9"/>
        <v>16.090308948275865</v>
      </c>
      <c r="Z159" s="133">
        <f t="shared" si="9"/>
        <v>16.090308948275865</v>
      </c>
      <c r="AA159" s="133">
        <f t="shared" si="9"/>
        <v>16.090308948275865</v>
      </c>
      <c r="AD159" s="150">
        <f>ROW(A149)</f>
        <v>149</v>
      </c>
    </row>
    <row r="160" spans="9:30" outlineLevel="1" x14ac:dyDescent="0.2">
      <c r="I160" s="96"/>
      <c r="J160" s="92"/>
      <c r="K160" s="105" t="s">
        <v>358</v>
      </c>
      <c r="L160" s="133"/>
      <c r="M160" s="133"/>
      <c r="N160" s="133">
        <f>$N$142</f>
        <v>17.216630574655216</v>
      </c>
      <c r="O160" s="133">
        <f t="shared" ref="O160:AA160" si="10">$N$142</f>
        <v>17.216630574655216</v>
      </c>
      <c r="P160" s="133">
        <f t="shared" si="10"/>
        <v>17.216630574655216</v>
      </c>
      <c r="Q160" s="133">
        <f t="shared" si="10"/>
        <v>17.216630574655216</v>
      </c>
      <c r="R160" s="133">
        <f t="shared" si="10"/>
        <v>17.216630574655216</v>
      </c>
      <c r="S160" s="133">
        <f t="shared" si="10"/>
        <v>17.216630574655216</v>
      </c>
      <c r="T160" s="133">
        <f t="shared" si="10"/>
        <v>17.216630574655216</v>
      </c>
      <c r="U160" s="133">
        <f t="shared" si="10"/>
        <v>17.216630574655216</v>
      </c>
      <c r="V160" s="133">
        <f t="shared" si="10"/>
        <v>17.216630574655216</v>
      </c>
      <c r="W160" s="133">
        <f t="shared" si="10"/>
        <v>17.216630574655216</v>
      </c>
      <c r="X160" s="133">
        <f t="shared" si="10"/>
        <v>17.216630574655216</v>
      </c>
      <c r="Y160" s="133">
        <f t="shared" si="10"/>
        <v>17.216630574655216</v>
      </c>
      <c r="Z160" s="133">
        <f t="shared" si="10"/>
        <v>17.216630574655216</v>
      </c>
      <c r="AA160" s="133">
        <f t="shared" si="10"/>
        <v>17.216630574655216</v>
      </c>
      <c r="AD160" s="150">
        <f>ROW(A150)</f>
        <v>150</v>
      </c>
    </row>
    <row r="161" spans="8:31" outlineLevel="1" x14ac:dyDescent="0.2">
      <c r="I161" s="96"/>
      <c r="J161" s="92"/>
      <c r="K161" s="105" t="s">
        <v>359</v>
      </c>
      <c r="L161" s="133"/>
      <c r="M161" s="133"/>
      <c r="N161" s="133">
        <f>$N$145</f>
        <v>16.090308948275865</v>
      </c>
      <c r="O161" s="133">
        <f t="shared" ref="O161:AA161" si="11">$N$145</f>
        <v>16.090308948275865</v>
      </c>
      <c r="P161" s="133">
        <f t="shared" si="11"/>
        <v>16.090308948275865</v>
      </c>
      <c r="Q161" s="133">
        <f t="shared" si="11"/>
        <v>16.090308948275865</v>
      </c>
      <c r="R161" s="133">
        <f t="shared" si="11"/>
        <v>16.090308948275865</v>
      </c>
      <c r="S161" s="133">
        <f t="shared" si="11"/>
        <v>16.090308948275865</v>
      </c>
      <c r="T161" s="133">
        <f t="shared" si="11"/>
        <v>16.090308948275865</v>
      </c>
      <c r="U161" s="133">
        <f t="shared" si="11"/>
        <v>16.090308948275865</v>
      </c>
      <c r="V161" s="133">
        <f t="shared" si="11"/>
        <v>16.090308948275865</v>
      </c>
      <c r="W161" s="133">
        <f t="shared" si="11"/>
        <v>16.090308948275865</v>
      </c>
      <c r="X161" s="133">
        <f t="shared" si="11"/>
        <v>16.090308948275865</v>
      </c>
      <c r="Y161" s="133">
        <f t="shared" si="11"/>
        <v>16.090308948275865</v>
      </c>
      <c r="Z161" s="133">
        <f t="shared" si="11"/>
        <v>16.090308948275865</v>
      </c>
      <c r="AA161" s="133">
        <f t="shared" si="11"/>
        <v>16.090308948275865</v>
      </c>
      <c r="AD161" s="150">
        <f t="shared" si="7"/>
        <v>156</v>
      </c>
    </row>
    <row r="162" spans="8:31" outlineLevel="1" x14ac:dyDescent="0.2">
      <c r="I162" s="96"/>
      <c r="J162" s="105" t="s">
        <v>503</v>
      </c>
      <c r="K162" s="93"/>
      <c r="L162" s="133"/>
      <c r="M162" s="133"/>
      <c r="N162" s="133"/>
      <c r="O162" s="133"/>
      <c r="P162" s="133"/>
      <c r="Q162" s="133"/>
      <c r="R162" s="133"/>
      <c r="S162" s="133"/>
      <c r="T162" s="133"/>
      <c r="U162" s="133"/>
      <c r="V162" s="133"/>
      <c r="W162" s="133"/>
      <c r="X162" s="133"/>
      <c r="Y162" s="133"/>
      <c r="Z162" s="133"/>
      <c r="AA162" s="133"/>
      <c r="AD162" s="150">
        <f t="shared" si="7"/>
        <v>157</v>
      </c>
    </row>
    <row r="163" spans="8:31" outlineLevel="1" x14ac:dyDescent="0.2">
      <c r="I163" s="96"/>
      <c r="J163" s="92"/>
      <c r="K163" s="105" t="s">
        <v>357</v>
      </c>
      <c r="L163" s="133"/>
      <c r="M163" s="133"/>
      <c r="N163" s="133">
        <f>N148*(1+$O$148)</f>
        <v>32.712928883264652</v>
      </c>
      <c r="O163" s="133">
        <f>N163*(1+$O$148)</f>
        <v>33.368746994746822</v>
      </c>
      <c r="P163" s="133">
        <f t="shared" ref="P163:AA163" si="12">O163*(1+$O$148)</f>
        <v>34.037712733483126</v>
      </c>
      <c r="Q163" s="133">
        <f t="shared" si="12"/>
        <v>34.720089678809636</v>
      </c>
      <c r="R163" s="133">
        <f t="shared" si="12"/>
        <v>35.416146694214859</v>
      </c>
      <c r="S163" s="133">
        <f t="shared" si="12"/>
        <v>36.126158033274685</v>
      </c>
      <c r="T163" s="133">
        <f t="shared" si="12"/>
        <v>36.850403447711088</v>
      </c>
      <c r="U163" s="133">
        <f t="shared" si="12"/>
        <v>37.589168297617192</v>
      </c>
      <c r="V163" s="133">
        <f t="shared" si="12"/>
        <v>38.34274366389203</v>
      </c>
      <c r="W163" s="133">
        <f t="shared" si="12"/>
        <v>39.111426462929408</v>
      </c>
      <c r="X163" s="133">
        <f t="shared" si="12"/>
        <v>39.895519563606008</v>
      </c>
      <c r="Y163" s="133">
        <f t="shared" si="12"/>
        <v>40.695331906614804</v>
      </c>
      <c r="Z163" s="133">
        <f t="shared" si="12"/>
        <v>41.511178626190862</v>
      </c>
      <c r="AA163" s="133">
        <f t="shared" si="12"/>
        <v>42.343381174277432</v>
      </c>
      <c r="AD163" s="150">
        <f t="shared" si="7"/>
        <v>158</v>
      </c>
    </row>
    <row r="164" spans="8:31" outlineLevel="1" x14ac:dyDescent="0.2">
      <c r="I164" s="96"/>
      <c r="J164" s="92"/>
      <c r="K164" s="105" t="s">
        <v>358</v>
      </c>
      <c r="L164" s="133"/>
      <c r="M164" s="133"/>
      <c r="N164" s="133">
        <f>($N$150/$N$148)*N163</f>
        <v>35.365052833887923</v>
      </c>
      <c r="O164" s="133">
        <f t="shared" ref="O164:AA164" si="13">($N$150/$N$148)*O163</f>
        <v>36.074039859927424</v>
      </c>
      <c r="P164" s="133">
        <f t="shared" si="13"/>
        <v>36.797240426250703</v>
      </c>
      <c r="Q164" s="133">
        <f t="shared" si="13"/>
        <v>37.534939481270037</v>
      </c>
      <c r="R164" s="133">
        <f t="shared" si="13"/>
        <v>38.287427685950398</v>
      </c>
      <c r="S164" s="133">
        <f t="shared" si="13"/>
        <v>39.055001528332816</v>
      </c>
      <c r="T164" s="133">
        <f t="shared" si="13"/>
        <v>39.837963440353711</v>
      </c>
      <c r="U164" s="133">
        <f t="shared" si="13"/>
        <v>40.636621917006181</v>
      </c>
      <c r="V164" s="133">
        <f t="shared" si="13"/>
        <v>41.451291637890137</v>
      </c>
      <c r="W164" s="133">
        <f t="shared" si="13"/>
        <v>42.282293591199334</v>
      </c>
      <c r="X164" s="133">
        <f t="shared" si="13"/>
        <v>43.129955200193962</v>
      </c>
      <c r="Y164" s="133">
        <f t="shared" si="13"/>
        <v>43.994610452208775</v>
      </c>
      <c r="Z164" s="133">
        <f t="shared" si="13"/>
        <v>44.876600030247502</v>
      </c>
      <c r="AA164" s="133">
        <f t="shared" si="13"/>
        <v>45.776271447215429</v>
      </c>
      <c r="AD164" s="150">
        <f t="shared" si="7"/>
        <v>159</v>
      </c>
    </row>
    <row r="165" spans="8:31" outlineLevel="1" x14ac:dyDescent="0.2">
      <c r="I165" s="96"/>
      <c r="J165" s="92"/>
      <c r="K165" s="105" t="s">
        <v>359</v>
      </c>
      <c r="L165" s="133"/>
      <c r="M165" s="133"/>
      <c r="N165" s="133">
        <f>($N$149/$N$148)*N163</f>
        <v>32.570122209000324</v>
      </c>
      <c r="O165" s="133">
        <f t="shared" ref="O165:AA165" si="14">($N$149/$N$148)*O163</f>
        <v>33.223077378929403</v>
      </c>
      <c r="P165" s="133">
        <f t="shared" si="14"/>
        <v>33.889122780795638</v>
      </c>
      <c r="Q165" s="133">
        <f t="shared" si="14"/>
        <v>34.568520843292539</v>
      </c>
      <c r="R165" s="133">
        <f t="shared" si="14"/>
        <v>35.261539256198333</v>
      </c>
      <c r="S165" s="133">
        <f t="shared" si="14"/>
        <v>35.968451075848478</v>
      </c>
      <c r="T165" s="133">
        <f t="shared" si="14"/>
        <v>36.689534832722636</v>
      </c>
      <c r="U165" s="133">
        <f t="shared" si="14"/>
        <v>37.425074641188552</v>
      </c>
      <c r="V165" s="133">
        <f t="shared" si="14"/>
        <v>38.175360311445978</v>
      </c>
      <c r="W165" s="133">
        <f t="shared" si="14"/>
        <v>38.940687463714873</v>
      </c>
      <c r="X165" s="133">
        <f t="shared" si="14"/>
        <v>39.72135764471281</v>
      </c>
      <c r="Y165" s="133">
        <f t="shared" si="14"/>
        <v>40.517678446467436</v>
      </c>
      <c r="Z165" s="133">
        <f t="shared" si="14"/>
        <v>41.329963627510892</v>
      </c>
      <c r="AA165" s="133">
        <f t="shared" si="14"/>
        <v>42.15853323650385</v>
      </c>
      <c r="AD165" s="150">
        <f t="shared" si="7"/>
        <v>160</v>
      </c>
    </row>
    <row r="166" spans="8:31" x14ac:dyDescent="0.2">
      <c r="J166" s="58"/>
      <c r="L166" s="77"/>
      <c r="M166" s="35"/>
      <c r="AD166" s="150">
        <f t="shared" si="7"/>
        <v>161</v>
      </c>
    </row>
    <row r="167" spans="8:31" x14ac:dyDescent="0.2">
      <c r="H167" s="72" t="s">
        <v>504</v>
      </c>
      <c r="J167" s="58"/>
      <c r="L167" s="77"/>
      <c r="M167" s="35"/>
      <c r="AD167" s="150">
        <f t="shared" si="7"/>
        <v>162</v>
      </c>
    </row>
    <row r="168" spans="8:31" outlineLevel="1" x14ac:dyDescent="0.2">
      <c r="I168" s="80" t="s">
        <v>310</v>
      </c>
      <c r="J168" s="84"/>
      <c r="K168" s="82"/>
      <c r="L168" s="116"/>
      <c r="M168" s="90"/>
      <c r="N168" s="83"/>
      <c r="O168" s="83"/>
      <c r="P168" s="83"/>
      <c r="Q168" s="83"/>
      <c r="R168" s="83"/>
      <c r="S168" s="83"/>
      <c r="T168" s="83"/>
      <c r="U168" s="83"/>
      <c r="V168" s="83"/>
      <c r="W168" s="83"/>
      <c r="X168" s="83"/>
      <c r="Y168" s="83"/>
      <c r="Z168" s="83"/>
      <c r="AA168" s="83"/>
      <c r="AD168" s="150">
        <f t="shared" si="7"/>
        <v>163</v>
      </c>
    </row>
    <row r="169" spans="8:31" outlineLevel="1" x14ac:dyDescent="0.2">
      <c r="I169" s="81"/>
      <c r="J169" s="84" t="s">
        <v>505</v>
      </c>
      <c r="K169" s="82"/>
      <c r="L169" s="116"/>
      <c r="M169" s="90"/>
      <c r="N169" s="83"/>
      <c r="O169" s="83"/>
      <c r="P169" s="83"/>
      <c r="Q169" s="83"/>
      <c r="R169" s="83"/>
      <c r="S169" s="83"/>
      <c r="T169" s="83"/>
      <c r="U169" s="83"/>
      <c r="V169" s="83"/>
      <c r="W169" s="83"/>
      <c r="X169" s="83"/>
      <c r="Y169" s="83"/>
      <c r="Z169" s="83"/>
      <c r="AA169" s="83"/>
      <c r="AD169" s="150">
        <f t="shared" si="7"/>
        <v>164</v>
      </c>
    </row>
    <row r="170" spans="8:31" outlineLevel="1" x14ac:dyDescent="0.2">
      <c r="I170" s="81"/>
      <c r="J170" s="84"/>
      <c r="K170" s="82" t="s">
        <v>506</v>
      </c>
      <c r="L170" s="115"/>
      <c r="M170" s="115"/>
      <c r="N170" s="115">
        <v>19.715790539149445</v>
      </c>
      <c r="O170" s="115">
        <v>18.887800119400367</v>
      </c>
      <c r="P170" s="115">
        <v>18.066442509975392</v>
      </c>
      <c r="Q170" s="115">
        <v>17.25120902918049</v>
      </c>
      <c r="R170" s="115">
        <v>16.44164171431752</v>
      </c>
      <c r="S170" s="115">
        <v>15.637327154138228</v>
      </c>
      <c r="T170" s="115">
        <v>14.837891199915147</v>
      </c>
      <c r="U170" s="115">
        <v>14.042994412488978</v>
      </c>
      <c r="V170" s="115">
        <v>13.252328128517522</v>
      </c>
      <c r="W170" s="115">
        <v>13.126821034172515</v>
      </c>
      <c r="X170" s="115">
        <v>13.002059683646907</v>
      </c>
      <c r="Y170" s="115">
        <v>12.87802235624693</v>
      </c>
      <c r="Z170" s="115">
        <v>12.754688166690114</v>
      </c>
      <c r="AA170" s="115">
        <v>12.632037025323795</v>
      </c>
      <c r="AD170" s="150">
        <f t="shared" si="7"/>
        <v>165</v>
      </c>
    </row>
    <row r="171" spans="8:31" outlineLevel="1" x14ac:dyDescent="0.2">
      <c r="I171" s="81"/>
      <c r="J171" s="84"/>
      <c r="K171" s="82" t="s">
        <v>507</v>
      </c>
      <c r="L171" s="115"/>
      <c r="M171" s="115"/>
      <c r="N171" s="115">
        <v>19.951730956305958</v>
      </c>
      <c r="O171" s="115">
        <v>19.354429860626116</v>
      </c>
      <c r="P171" s="115">
        <v>18.75899579306332</v>
      </c>
      <c r="Q171" s="115">
        <v>18.165351904966844</v>
      </c>
      <c r="R171" s="115">
        <v>17.573425508154287</v>
      </c>
      <c r="S171" s="115">
        <v>16.983147797119678</v>
      </c>
      <c r="T171" s="115">
        <v>16.3944535932058</v>
      </c>
      <c r="U171" s="115">
        <v>15.80728110874111</v>
      </c>
      <c r="V171" s="115">
        <v>15.221571729346822</v>
      </c>
      <c r="W171" s="115">
        <v>15.120869365086181</v>
      </c>
      <c r="X171" s="115">
        <v>15.020426131446611</v>
      </c>
      <c r="Y171" s="115">
        <v>14.920237780385147</v>
      </c>
      <c r="Z171" s="115">
        <v>14.820300156207578</v>
      </c>
      <c r="AA171" s="115">
        <v>14.720609193072546</v>
      </c>
      <c r="AD171" s="150">
        <f t="shared" si="7"/>
        <v>166</v>
      </c>
    </row>
    <row r="172" spans="8:31" outlineLevel="1" x14ac:dyDescent="0.2">
      <c r="I172" s="81"/>
      <c r="J172" s="84"/>
      <c r="K172" s="82" t="s">
        <v>508</v>
      </c>
      <c r="L172" s="115"/>
      <c r="M172" s="115"/>
      <c r="N172" s="115">
        <v>20.48181226946366</v>
      </c>
      <c r="O172" s="115">
        <v>20.413394203017894</v>
      </c>
      <c r="P172" s="115">
        <v>20.345706614572968</v>
      </c>
      <c r="Q172" s="115">
        <v>20.278730602272248</v>
      </c>
      <c r="R172" s="115">
        <v>20.212447910821826</v>
      </c>
      <c r="S172" s="115">
        <v>20.146840904079237</v>
      </c>
      <c r="T172" s="115">
        <v>20.081892539025056</v>
      </c>
      <c r="U172" s="115">
        <v>20.017586341036537</v>
      </c>
      <c r="V172" s="115">
        <v>19.953906380388023</v>
      </c>
      <c r="W172" s="115">
        <v>19.716852078803782</v>
      </c>
      <c r="X172" s="115">
        <v>19.479845756280085</v>
      </c>
      <c r="Y172" s="115">
        <v>19.242887080398503</v>
      </c>
      <c r="Z172" s="115">
        <v>19.005975721804365</v>
      </c>
      <c r="AA172" s="115">
        <v>18.76911135417155</v>
      </c>
      <c r="AD172" s="150">
        <f t="shared" si="7"/>
        <v>167</v>
      </c>
    </row>
    <row r="173" spans="8:31" outlineLevel="1" x14ac:dyDescent="0.2">
      <c r="I173" s="81"/>
      <c r="J173" s="84"/>
      <c r="K173" s="82" t="s">
        <v>509</v>
      </c>
      <c r="L173" s="116"/>
      <c r="M173" s="90"/>
      <c r="N173" s="90">
        <f t="shared" ref="N173:AA173" si="15">N171/$N$171</f>
        <v>1</v>
      </c>
      <c r="O173" s="90">
        <f t="shared" si="15"/>
        <v>0.9700626929569206</v>
      </c>
      <c r="P173" s="90">
        <f t="shared" si="15"/>
        <v>0.94021896316391229</v>
      </c>
      <c r="Q173" s="90">
        <f t="shared" si="15"/>
        <v>0.91046495889247592</v>
      </c>
      <c r="R173" s="90">
        <f t="shared" si="15"/>
        <v>0.88079703694079825</v>
      </c>
      <c r="S173" s="90">
        <f t="shared" si="15"/>
        <v>0.8512117487105535</v>
      </c>
      <c r="T173" s="90">
        <f t="shared" si="15"/>
        <v>0.82170582738457376</v>
      </c>
      <c r="U173" s="90">
        <f t="shared" si="15"/>
        <v>0.79227617610516388</v>
      </c>
      <c r="V173" s="90">
        <f t="shared" si="15"/>
        <v>0.76291985706312271</v>
      </c>
      <c r="W173" s="90">
        <f t="shared" si="15"/>
        <v>0.75787255743377335</v>
      </c>
      <c r="X173" s="90">
        <f t="shared" si="15"/>
        <v>0.75283824568109681</v>
      </c>
      <c r="Y173" s="90">
        <f t="shared" si="15"/>
        <v>0.74781670888908247</v>
      </c>
      <c r="Z173" s="90">
        <f t="shared" si="15"/>
        <v>0.7428077387703278</v>
      </c>
      <c r="AA173" s="90">
        <f t="shared" si="15"/>
        <v>0.73781113154094236</v>
      </c>
      <c r="AD173" s="150">
        <f t="shared" si="7"/>
        <v>168</v>
      </c>
    </row>
    <row r="174" spans="8:31" outlineLevel="1" x14ac:dyDescent="0.2">
      <c r="I174" s="81"/>
      <c r="J174" s="84" t="s">
        <v>510</v>
      </c>
      <c r="K174" s="82"/>
      <c r="L174" s="116"/>
      <c r="M174" s="90"/>
      <c r="N174" s="83"/>
      <c r="O174" s="83"/>
      <c r="P174" s="83"/>
      <c r="Q174" s="83"/>
      <c r="R174" s="83"/>
      <c r="S174" s="83"/>
      <c r="T174" s="83"/>
      <c r="U174" s="83"/>
      <c r="V174" s="83"/>
      <c r="W174" s="83"/>
      <c r="X174" s="83"/>
      <c r="Y174" s="83"/>
      <c r="Z174" s="83"/>
      <c r="AA174" s="83"/>
      <c r="AD174" s="150">
        <f t="shared" si="7"/>
        <v>169</v>
      </c>
      <c r="AE174" s="32" t="s">
        <v>511</v>
      </c>
    </row>
    <row r="175" spans="8:31" outlineLevel="1" x14ac:dyDescent="0.2">
      <c r="I175" s="81"/>
      <c r="J175" s="84"/>
      <c r="K175" s="82" t="s">
        <v>512</v>
      </c>
      <c r="L175" s="116"/>
      <c r="M175" s="90"/>
      <c r="N175" s="115">
        <f>MAX(7,5,2+3.3)</f>
        <v>7</v>
      </c>
      <c r="O175" s="83"/>
      <c r="P175" s="83"/>
      <c r="Q175" s="83"/>
      <c r="R175" s="83"/>
      <c r="S175" s="83"/>
      <c r="T175" s="83"/>
      <c r="U175" s="83"/>
      <c r="V175" s="83"/>
      <c r="W175" s="83"/>
      <c r="X175" s="83"/>
      <c r="Y175" s="83"/>
      <c r="Z175" s="83"/>
      <c r="AA175" s="83"/>
      <c r="AD175" s="150">
        <f t="shared" si="7"/>
        <v>170</v>
      </c>
    </row>
    <row r="176" spans="8:31" outlineLevel="1" x14ac:dyDescent="0.2">
      <c r="I176" s="81"/>
      <c r="J176" s="84"/>
      <c r="K176" s="82" t="s">
        <v>513</v>
      </c>
      <c r="L176" s="116"/>
      <c r="M176" s="90"/>
      <c r="N176" s="111">
        <f>N175*INDEX(US.CPI,MATCH(2022,CPI.years,0))/INDEX(US.CPI,MATCH(2019,CPI.years,0))</f>
        <v>7.4658194377623577</v>
      </c>
      <c r="O176" s="83"/>
      <c r="P176" s="83"/>
      <c r="Q176" s="83"/>
      <c r="R176" s="83"/>
      <c r="S176" s="83"/>
      <c r="T176" s="83"/>
      <c r="U176" s="83"/>
      <c r="V176" s="83"/>
      <c r="W176" s="83"/>
      <c r="X176" s="83"/>
      <c r="Y176" s="83"/>
      <c r="Z176" s="83"/>
      <c r="AA176" s="83"/>
      <c r="AD176" s="150">
        <f t="shared" si="7"/>
        <v>171</v>
      </c>
    </row>
    <row r="177" spans="9:30" outlineLevel="1" x14ac:dyDescent="0.2">
      <c r="I177" s="106" t="s">
        <v>514</v>
      </c>
      <c r="J177" s="106"/>
      <c r="K177" s="107"/>
      <c r="L177" s="116"/>
      <c r="M177" s="90"/>
      <c r="N177" s="111"/>
      <c r="O177" s="83"/>
      <c r="P177" s="83"/>
      <c r="Q177" s="83"/>
      <c r="R177" s="83"/>
      <c r="S177" s="83"/>
      <c r="T177" s="83"/>
      <c r="U177" s="83"/>
      <c r="V177" s="83"/>
      <c r="W177" s="83"/>
      <c r="X177" s="83"/>
      <c r="Y177" s="83"/>
      <c r="Z177" s="83"/>
      <c r="AA177" s="83"/>
      <c r="AD177" s="150">
        <f t="shared" si="7"/>
        <v>172</v>
      </c>
    </row>
    <row r="178" spans="9:30" outlineLevel="1" x14ac:dyDescent="0.2">
      <c r="I178" s="81"/>
      <c r="J178" s="106"/>
      <c r="K178" s="107" t="s">
        <v>515</v>
      </c>
      <c r="L178" s="116"/>
      <c r="M178" s="90"/>
      <c r="N178" s="111"/>
      <c r="O178" s="83"/>
      <c r="P178" s="83"/>
      <c r="Q178" s="83"/>
      <c r="R178" s="83"/>
      <c r="S178" s="83"/>
      <c r="T178" s="83"/>
      <c r="U178" s="83"/>
      <c r="V178" s="83"/>
      <c r="W178" s="83"/>
      <c r="X178" s="83"/>
      <c r="Y178" s="83"/>
      <c r="Z178" s="83"/>
      <c r="AA178" s="83"/>
      <c r="AD178" s="150">
        <f t="shared" si="7"/>
        <v>173</v>
      </c>
    </row>
    <row r="179" spans="9:30" outlineLevel="1" x14ac:dyDescent="0.2">
      <c r="I179" s="81"/>
      <c r="J179" s="106"/>
      <c r="K179" s="82" t="s">
        <v>352</v>
      </c>
      <c r="L179" s="116"/>
      <c r="M179" s="90"/>
      <c r="N179" s="281">
        <v>8</v>
      </c>
      <c r="O179" s="83"/>
      <c r="P179" s="83"/>
      <c r="Q179" s="83"/>
      <c r="R179" s="83"/>
      <c r="S179" s="83"/>
      <c r="T179" s="83"/>
      <c r="U179" s="83"/>
      <c r="V179" s="83"/>
      <c r="W179" s="83"/>
      <c r="X179" s="83"/>
      <c r="Y179" s="83"/>
      <c r="Z179" s="83"/>
      <c r="AA179" s="83"/>
      <c r="AD179" s="150">
        <f t="shared" ref="AD179:AD217" si="16">ROW(A174)</f>
        <v>174</v>
      </c>
    </row>
    <row r="180" spans="9:30" outlineLevel="1" x14ac:dyDescent="0.2">
      <c r="I180" s="81"/>
      <c r="J180" s="106"/>
      <c r="K180" s="88" t="s">
        <v>516</v>
      </c>
      <c r="L180" s="116"/>
      <c r="M180" s="90"/>
      <c r="N180" s="282">
        <f>AVERAGE(N179:N179)</f>
        <v>8</v>
      </c>
      <c r="O180" s="83"/>
      <c r="P180" s="83"/>
      <c r="Q180" s="83"/>
      <c r="R180" s="83"/>
      <c r="S180" s="83"/>
      <c r="T180" s="83"/>
      <c r="U180" s="83"/>
      <c r="V180" s="83"/>
      <c r="W180" s="83"/>
      <c r="X180" s="83"/>
      <c r="Y180" s="83"/>
      <c r="Z180" s="83"/>
      <c r="AA180" s="83"/>
      <c r="AD180" s="150">
        <f>ROW(A178)</f>
        <v>178</v>
      </c>
    </row>
    <row r="181" spans="9:30" outlineLevel="1" x14ac:dyDescent="0.2">
      <c r="I181" s="81"/>
      <c r="J181" s="83"/>
      <c r="K181" s="107" t="s">
        <v>517</v>
      </c>
      <c r="L181" s="116"/>
      <c r="M181" s="90"/>
      <c r="N181" s="283"/>
      <c r="O181" s="83"/>
      <c r="P181" s="83"/>
      <c r="Q181" s="83"/>
      <c r="R181" s="83"/>
      <c r="S181" s="83"/>
      <c r="T181" s="83"/>
      <c r="U181" s="83"/>
      <c r="V181" s="83"/>
      <c r="W181" s="83"/>
      <c r="X181" s="83"/>
      <c r="Y181" s="83"/>
      <c r="Z181" s="83"/>
      <c r="AA181" s="83"/>
      <c r="AD181" s="150">
        <f>ROW(A179)</f>
        <v>179</v>
      </c>
    </row>
    <row r="182" spans="9:30" outlineLevel="1" x14ac:dyDescent="0.2">
      <c r="I182" s="81"/>
      <c r="J182" s="83"/>
      <c r="K182" s="82" t="s">
        <v>352</v>
      </c>
      <c r="L182" s="116"/>
      <c r="M182" s="90"/>
      <c r="N182" s="281">
        <v>9.25</v>
      </c>
      <c r="O182" s="83"/>
      <c r="P182" s="83"/>
      <c r="Q182" s="83"/>
      <c r="R182" s="83"/>
      <c r="S182" s="83"/>
      <c r="T182" s="83"/>
      <c r="U182" s="83"/>
      <c r="V182" s="83"/>
      <c r="W182" s="83"/>
      <c r="X182" s="83"/>
      <c r="Y182" s="83"/>
      <c r="Z182" s="83"/>
      <c r="AA182" s="83"/>
      <c r="AD182" s="150" t="e">
        <f>ROW(#REF!)</f>
        <v>#REF!</v>
      </c>
    </row>
    <row r="183" spans="9:30" outlineLevel="1" x14ac:dyDescent="0.2">
      <c r="I183" s="81"/>
      <c r="J183" s="83"/>
      <c r="K183" s="88" t="s">
        <v>517</v>
      </c>
      <c r="L183" s="116"/>
      <c r="M183" s="90"/>
      <c r="N183" s="282">
        <f>AVERAGE(N182:N182)</f>
        <v>9.25</v>
      </c>
      <c r="O183" s="83"/>
      <c r="P183" s="83"/>
      <c r="Q183" s="83"/>
      <c r="R183" s="83"/>
      <c r="S183" s="83"/>
      <c r="T183" s="83"/>
      <c r="U183" s="83"/>
      <c r="V183" s="83"/>
      <c r="W183" s="83"/>
      <c r="X183" s="83"/>
      <c r="Y183" s="83"/>
      <c r="Z183" s="83"/>
      <c r="AA183" s="83"/>
      <c r="AD183" s="150">
        <f>ROW(A181)</f>
        <v>181</v>
      </c>
    </row>
    <row r="184" spans="9:30" outlineLevel="1" x14ac:dyDescent="0.2">
      <c r="I184" s="81"/>
      <c r="J184" s="84"/>
      <c r="K184" s="82" t="s">
        <v>518</v>
      </c>
      <c r="L184" s="116"/>
      <c r="M184" s="90"/>
      <c r="N184" s="284">
        <v>1</v>
      </c>
      <c r="O184" s="83"/>
      <c r="P184" s="83"/>
      <c r="Q184" s="83"/>
      <c r="R184" s="83"/>
      <c r="S184" s="83"/>
      <c r="T184" s="83"/>
      <c r="U184" s="83"/>
      <c r="V184" s="83"/>
      <c r="W184" s="83"/>
      <c r="X184" s="83"/>
      <c r="Y184" s="83"/>
      <c r="Z184" s="83"/>
      <c r="AA184" s="83"/>
      <c r="AD184" s="150">
        <f>ROW(A182)</f>
        <v>182</v>
      </c>
    </row>
    <row r="185" spans="9:30" outlineLevel="1" x14ac:dyDescent="0.2">
      <c r="I185" s="81"/>
      <c r="J185" s="84"/>
      <c r="K185" s="82" t="s">
        <v>519</v>
      </c>
      <c r="L185" s="116"/>
      <c r="M185" s="90"/>
      <c r="N185" s="281">
        <f>N184*INDEX(US.CPI,MATCH(2022,CPI.years,0))/INDEX(US.CPI,MATCH(2019,CPI.years,0))</f>
        <v>1.0665456339660511</v>
      </c>
      <c r="O185" s="83"/>
      <c r="P185" s="83"/>
      <c r="Q185" s="83"/>
      <c r="R185" s="83"/>
      <c r="S185" s="83"/>
      <c r="T185" s="83"/>
      <c r="U185" s="83"/>
      <c r="V185" s="83"/>
      <c r="W185" s="83"/>
      <c r="X185" s="83"/>
      <c r="Y185" s="83"/>
      <c r="Z185" s="83"/>
      <c r="AA185" s="83"/>
      <c r="AD185" s="150" t="e">
        <f>ROW(#REF!)</f>
        <v>#REF!</v>
      </c>
    </row>
    <row r="186" spans="9:30" outlineLevel="1" x14ac:dyDescent="0.2">
      <c r="I186" s="106" t="s">
        <v>520</v>
      </c>
      <c r="J186" s="106"/>
      <c r="K186" s="82"/>
      <c r="L186" s="116"/>
      <c r="M186" s="90"/>
      <c r="N186" s="281"/>
      <c r="O186" s="83"/>
      <c r="P186" s="83"/>
      <c r="Q186" s="83"/>
      <c r="R186" s="83"/>
      <c r="S186" s="83"/>
      <c r="T186" s="83"/>
      <c r="U186" s="83"/>
      <c r="V186" s="83"/>
      <c r="W186" s="83"/>
      <c r="X186" s="83"/>
      <c r="Y186" s="83"/>
      <c r="Z186" s="83"/>
      <c r="AA186" s="83"/>
      <c r="AD186" s="150" t="e">
        <f>ROW(#REF!)</f>
        <v>#REF!</v>
      </c>
    </row>
    <row r="187" spans="9:30" outlineLevel="1" x14ac:dyDescent="0.2">
      <c r="I187" s="81"/>
      <c r="J187" s="84"/>
      <c r="K187" s="107" t="s">
        <v>521</v>
      </c>
      <c r="L187" s="116"/>
      <c r="M187" s="90"/>
      <c r="N187" s="281"/>
      <c r="O187" s="83"/>
      <c r="P187" s="83"/>
      <c r="Q187" s="83"/>
      <c r="R187" s="83"/>
      <c r="S187" s="83"/>
      <c r="T187" s="83"/>
      <c r="U187" s="83"/>
      <c r="V187" s="83"/>
      <c r="W187" s="83"/>
      <c r="X187" s="83"/>
      <c r="Y187" s="83"/>
      <c r="Z187" s="83"/>
      <c r="AA187" s="83"/>
      <c r="AD187" s="150" t="e">
        <f>ROW(#REF!)</f>
        <v>#REF!</v>
      </c>
    </row>
    <row r="188" spans="9:30" outlineLevel="1" x14ac:dyDescent="0.2">
      <c r="I188" s="81"/>
      <c r="J188" s="84"/>
      <c r="K188" s="82" t="s">
        <v>352</v>
      </c>
      <c r="L188" s="116"/>
      <c r="M188" s="90"/>
      <c r="N188" s="281">
        <v>1</v>
      </c>
      <c r="O188" s="83"/>
      <c r="P188" s="83"/>
      <c r="Q188" s="83"/>
      <c r="R188" s="83"/>
      <c r="S188" s="83"/>
      <c r="T188" s="83"/>
      <c r="U188" s="83"/>
      <c r="V188" s="83"/>
      <c r="W188" s="83"/>
      <c r="X188" s="83"/>
      <c r="Y188" s="83"/>
      <c r="Z188" s="83"/>
      <c r="AA188" s="83"/>
      <c r="AD188" s="150">
        <f t="shared" si="16"/>
        <v>183</v>
      </c>
    </row>
    <row r="189" spans="9:30" outlineLevel="1" x14ac:dyDescent="0.2">
      <c r="I189" s="81"/>
      <c r="J189" s="84"/>
      <c r="K189" s="88" t="s">
        <v>522</v>
      </c>
      <c r="L189" s="116"/>
      <c r="M189" s="90"/>
      <c r="N189" s="282">
        <f>AVERAGE(N188:N188)</f>
        <v>1</v>
      </c>
      <c r="O189" s="83"/>
      <c r="P189" s="83"/>
      <c r="Q189" s="83"/>
      <c r="R189" s="83"/>
      <c r="S189" s="83"/>
      <c r="T189" s="83"/>
      <c r="U189" s="83"/>
      <c r="V189" s="83"/>
      <c r="W189" s="83"/>
      <c r="X189" s="83"/>
      <c r="Y189" s="83"/>
      <c r="Z189" s="83"/>
      <c r="AA189" s="83"/>
      <c r="AD189" s="150">
        <f>ROW(A187)</f>
        <v>187</v>
      </c>
    </row>
    <row r="190" spans="9:30" outlineLevel="1" x14ac:dyDescent="0.2">
      <c r="I190" s="81"/>
      <c r="J190" s="84"/>
      <c r="K190" s="107" t="s">
        <v>523</v>
      </c>
      <c r="L190" s="116"/>
      <c r="M190" s="90"/>
      <c r="N190" s="283"/>
      <c r="O190" s="83"/>
      <c r="P190" s="83"/>
      <c r="Q190" s="83"/>
      <c r="R190" s="83"/>
      <c r="S190" s="83"/>
      <c r="T190" s="83"/>
      <c r="U190" s="83"/>
      <c r="V190" s="83"/>
      <c r="W190" s="83"/>
      <c r="X190" s="83"/>
      <c r="Y190" s="83"/>
      <c r="Z190" s="83"/>
      <c r="AA190" s="83"/>
      <c r="AD190" s="150">
        <f>ROW(A188)</f>
        <v>188</v>
      </c>
    </row>
    <row r="191" spans="9:30" outlineLevel="1" x14ac:dyDescent="0.2">
      <c r="I191" s="81"/>
      <c r="J191" s="84"/>
      <c r="K191" s="82" t="s">
        <v>352</v>
      </c>
      <c r="L191" s="116"/>
      <c r="M191" s="90"/>
      <c r="N191" s="281">
        <v>1.25</v>
      </c>
      <c r="O191" s="83"/>
      <c r="P191" s="83"/>
      <c r="Q191" s="83"/>
      <c r="R191" s="83"/>
      <c r="S191" s="83"/>
      <c r="T191" s="83"/>
      <c r="U191" s="83"/>
      <c r="V191" s="83"/>
      <c r="W191" s="83"/>
      <c r="X191" s="83"/>
      <c r="Y191" s="83"/>
      <c r="Z191" s="83"/>
      <c r="AA191" s="83"/>
      <c r="AD191" s="150" t="e">
        <f>ROW(#REF!)</f>
        <v>#REF!</v>
      </c>
    </row>
    <row r="192" spans="9:30" outlineLevel="1" x14ac:dyDescent="0.2">
      <c r="I192" s="81"/>
      <c r="J192" s="84"/>
      <c r="K192" s="88" t="s">
        <v>524</v>
      </c>
      <c r="L192" s="116"/>
      <c r="M192" s="90"/>
      <c r="N192" s="282">
        <f>AVERAGE(N191:N191)</f>
        <v>1.25</v>
      </c>
      <c r="O192" s="83"/>
      <c r="P192" s="83"/>
      <c r="Q192" s="83"/>
      <c r="R192" s="83"/>
      <c r="S192" s="83"/>
      <c r="T192" s="83"/>
      <c r="U192" s="83"/>
      <c r="V192" s="83"/>
      <c r="W192" s="83"/>
      <c r="X192" s="83"/>
      <c r="Y192" s="83"/>
      <c r="Z192" s="83"/>
      <c r="AA192" s="83"/>
      <c r="AD192" s="150">
        <f>ROW(A190)</f>
        <v>190</v>
      </c>
    </row>
    <row r="193" spans="9:30" outlineLevel="1" x14ac:dyDescent="0.2">
      <c r="I193" s="106" t="s">
        <v>421</v>
      </c>
      <c r="J193" s="106"/>
      <c r="K193" s="82"/>
      <c r="L193" s="116"/>
      <c r="M193" s="90"/>
      <c r="N193" s="282"/>
      <c r="O193" s="83"/>
      <c r="P193" s="83"/>
      <c r="Q193" s="83"/>
      <c r="R193" s="83"/>
      <c r="S193" s="83"/>
      <c r="T193" s="83"/>
      <c r="U193" s="83"/>
      <c r="V193" s="83"/>
      <c r="W193" s="83"/>
      <c r="X193" s="83"/>
      <c r="Y193" s="83"/>
      <c r="Z193" s="83"/>
      <c r="AA193" s="83"/>
      <c r="AD193" s="150">
        <f>ROW(A191)</f>
        <v>191</v>
      </c>
    </row>
    <row r="194" spans="9:30" outlineLevel="1" x14ac:dyDescent="0.2">
      <c r="I194" s="81"/>
      <c r="J194" s="84"/>
      <c r="K194" s="107" t="s">
        <v>422</v>
      </c>
      <c r="L194" s="116"/>
      <c r="M194" s="90"/>
      <c r="N194" s="282"/>
      <c r="O194" s="83"/>
      <c r="P194" s="83"/>
      <c r="Q194" s="83"/>
      <c r="R194" s="83"/>
      <c r="S194" s="83"/>
      <c r="T194" s="83"/>
      <c r="U194" s="83"/>
      <c r="V194" s="83"/>
      <c r="W194" s="83"/>
      <c r="X194" s="83"/>
      <c r="Y194" s="83"/>
      <c r="Z194" s="83"/>
      <c r="AA194" s="83"/>
      <c r="AD194" s="150" t="e">
        <f>ROW(#REF!)</f>
        <v>#REF!</v>
      </c>
    </row>
    <row r="195" spans="9:30" outlineLevel="1" x14ac:dyDescent="0.2">
      <c r="I195" s="81"/>
      <c r="J195" s="84"/>
      <c r="K195" s="82" t="s">
        <v>352</v>
      </c>
      <c r="L195" s="116"/>
      <c r="M195" s="90"/>
      <c r="N195" s="281">
        <v>14</v>
      </c>
      <c r="O195" s="83"/>
      <c r="P195" s="83"/>
      <c r="Q195" s="83"/>
      <c r="R195" s="83"/>
      <c r="S195" s="83"/>
      <c r="T195" s="83"/>
      <c r="U195" s="83"/>
      <c r="V195" s="83"/>
      <c r="W195" s="83"/>
      <c r="X195" s="83"/>
      <c r="Y195" s="83"/>
      <c r="Z195" s="83"/>
      <c r="AA195" s="83"/>
      <c r="AD195" s="150" t="e">
        <f>ROW(#REF!)</f>
        <v>#REF!</v>
      </c>
    </row>
    <row r="196" spans="9:30" outlineLevel="1" x14ac:dyDescent="0.2">
      <c r="I196" s="81"/>
      <c r="J196" s="84"/>
      <c r="K196" s="88" t="s">
        <v>423</v>
      </c>
      <c r="L196" s="116"/>
      <c r="M196" s="90"/>
      <c r="N196" s="282">
        <f>AVERAGE(N195:N195)</f>
        <v>14</v>
      </c>
      <c r="O196" s="83"/>
      <c r="P196" s="83"/>
      <c r="Q196" s="83"/>
      <c r="R196" s="83"/>
      <c r="S196" s="83"/>
      <c r="T196" s="83"/>
      <c r="U196" s="83"/>
      <c r="V196" s="83"/>
      <c r="W196" s="83"/>
      <c r="X196" s="83"/>
      <c r="Y196" s="83"/>
      <c r="Z196" s="83"/>
      <c r="AA196" s="83"/>
      <c r="AD196" s="150">
        <f>ROW(A194)</f>
        <v>194</v>
      </c>
    </row>
    <row r="197" spans="9:30" outlineLevel="1" x14ac:dyDescent="0.2">
      <c r="I197" s="81"/>
      <c r="J197" s="84"/>
      <c r="K197" s="107" t="s">
        <v>424</v>
      </c>
      <c r="L197" s="116"/>
      <c r="M197" s="90"/>
      <c r="N197" s="282"/>
      <c r="O197" s="83"/>
      <c r="P197" s="83"/>
      <c r="Q197" s="83"/>
      <c r="R197" s="83"/>
      <c r="S197" s="83"/>
      <c r="T197" s="83"/>
      <c r="U197" s="83"/>
      <c r="V197" s="83"/>
      <c r="W197" s="83"/>
      <c r="X197" s="83"/>
      <c r="Y197" s="83"/>
      <c r="Z197" s="83"/>
      <c r="AA197" s="83"/>
      <c r="AD197" s="150">
        <f>ROW(A195)</f>
        <v>195</v>
      </c>
    </row>
    <row r="198" spans="9:30" outlineLevel="1" x14ac:dyDescent="0.2">
      <c r="I198" s="81"/>
      <c r="J198" s="84"/>
      <c r="K198" s="82" t="s">
        <v>352</v>
      </c>
      <c r="L198" s="116"/>
      <c r="M198" s="90"/>
      <c r="N198" s="281">
        <f>2%*1500</f>
        <v>30</v>
      </c>
      <c r="O198" s="83"/>
      <c r="P198" s="83"/>
      <c r="Q198" s="83"/>
      <c r="R198" s="83"/>
      <c r="S198" s="83"/>
      <c r="T198" s="83"/>
      <c r="U198" s="83"/>
      <c r="V198" s="83"/>
      <c r="W198" s="83"/>
      <c r="X198" s="83"/>
      <c r="Y198" s="83"/>
      <c r="Z198" s="83"/>
      <c r="AA198" s="83"/>
      <c r="AD198" s="150" t="e">
        <f>ROW(#REF!)</f>
        <v>#REF!</v>
      </c>
    </row>
    <row r="199" spans="9:30" outlineLevel="1" x14ac:dyDescent="0.2">
      <c r="I199" s="81"/>
      <c r="J199" s="84"/>
      <c r="K199" s="88" t="s">
        <v>425</v>
      </c>
      <c r="L199" s="116"/>
      <c r="M199" s="90"/>
      <c r="N199" s="282">
        <f>AVERAGE(N198:N198)</f>
        <v>30</v>
      </c>
      <c r="O199" s="7" t="s">
        <v>525</v>
      </c>
      <c r="P199" s="83"/>
      <c r="Q199" s="83"/>
      <c r="R199" s="83"/>
      <c r="S199" s="83"/>
      <c r="T199" s="83"/>
      <c r="U199" s="83"/>
      <c r="V199" s="83"/>
      <c r="W199" s="83"/>
      <c r="X199" s="83"/>
      <c r="Y199" s="83"/>
      <c r="Z199" s="83"/>
      <c r="AA199" s="83"/>
      <c r="AD199" s="150">
        <f>ROW(A197)</f>
        <v>197</v>
      </c>
    </row>
    <row r="200" spans="9:30" outlineLevel="1" x14ac:dyDescent="0.2">
      <c r="I200" s="81"/>
      <c r="J200" s="84"/>
      <c r="K200" s="107" t="s">
        <v>426</v>
      </c>
      <c r="L200" s="116"/>
      <c r="M200" s="90"/>
      <c r="N200" s="282">
        <v>25</v>
      </c>
      <c r="O200" s="83"/>
      <c r="P200" s="83"/>
      <c r="Q200" s="83"/>
      <c r="R200" s="83"/>
      <c r="S200" s="83"/>
      <c r="T200" s="83"/>
      <c r="U200" s="83"/>
      <c r="V200" s="83"/>
      <c r="W200" s="83"/>
      <c r="X200" s="83"/>
      <c r="Y200" s="83"/>
      <c r="Z200" s="83"/>
      <c r="AA200" s="83"/>
      <c r="AD200" s="150">
        <f>ROW(A198)</f>
        <v>198</v>
      </c>
    </row>
    <row r="201" spans="9:30" outlineLevel="1" x14ac:dyDescent="0.2">
      <c r="I201" s="138"/>
      <c r="J201" s="138"/>
      <c r="K201" s="138"/>
      <c r="L201" s="139"/>
      <c r="M201" s="139"/>
      <c r="N201" s="139"/>
      <c r="O201" s="139"/>
      <c r="P201" s="139"/>
      <c r="Q201" s="139"/>
      <c r="R201" s="140"/>
      <c r="S201" s="140"/>
      <c r="T201" s="140"/>
      <c r="U201" s="140"/>
      <c r="V201" s="140"/>
      <c r="W201" s="140"/>
      <c r="X201" s="140"/>
      <c r="Y201" s="140"/>
      <c r="Z201" s="140"/>
      <c r="AA201" s="140"/>
      <c r="AD201" s="150" t="e">
        <f>ROW(#REF!)</f>
        <v>#REF!</v>
      </c>
    </row>
    <row r="202" spans="9:30" outlineLevel="1" x14ac:dyDescent="0.2">
      <c r="I202" s="103" t="s">
        <v>355</v>
      </c>
      <c r="J202" s="92"/>
      <c r="K202" s="137"/>
      <c r="L202" s="137"/>
      <c r="M202" s="108"/>
      <c r="N202" s="94"/>
      <c r="O202" s="94"/>
      <c r="P202" s="94"/>
      <c r="Q202" s="94"/>
      <c r="R202" s="94"/>
      <c r="S202" s="94"/>
      <c r="T202" s="94"/>
      <c r="U202" s="94"/>
      <c r="V202" s="94"/>
      <c r="W202" s="94"/>
      <c r="X202" s="94"/>
      <c r="Y202" s="94"/>
      <c r="Z202" s="94"/>
      <c r="AA202" s="94"/>
      <c r="AD202" s="150" t="e">
        <f>ROW(#REF!)</f>
        <v>#REF!</v>
      </c>
    </row>
    <row r="203" spans="9:30" outlineLevel="1" x14ac:dyDescent="0.2">
      <c r="I203" s="96"/>
      <c r="J203" s="105" t="s">
        <v>526</v>
      </c>
      <c r="K203" s="93"/>
      <c r="L203" s="137"/>
      <c r="M203" s="108"/>
      <c r="N203" s="94"/>
      <c r="O203" s="94"/>
      <c r="P203" s="94"/>
      <c r="Q203" s="94"/>
      <c r="R203" s="94"/>
      <c r="S203" s="94"/>
      <c r="T203" s="94"/>
      <c r="U203" s="94"/>
      <c r="V203" s="94"/>
      <c r="W203" s="94"/>
      <c r="X203" s="94"/>
      <c r="Y203" s="94"/>
      <c r="Z203" s="94"/>
      <c r="AA203" s="94"/>
      <c r="AD203" s="150" t="e">
        <f>ROW(#REF!)</f>
        <v>#REF!</v>
      </c>
    </row>
    <row r="204" spans="9:30" outlineLevel="1" x14ac:dyDescent="0.2">
      <c r="I204" s="96"/>
      <c r="J204" s="92"/>
      <c r="K204" s="105" t="s">
        <v>357</v>
      </c>
      <c r="L204" s="137"/>
      <c r="M204" s="108"/>
      <c r="N204" s="98">
        <f t="shared" ref="N204:AA204" si="17">$N$176*N173*USD_to_CAD</f>
        <v>9.7055652690910659</v>
      </c>
      <c r="O204" s="98">
        <f t="shared" si="17"/>
        <v>9.4150067816036387</v>
      </c>
      <c r="P204" s="98">
        <f t="shared" si="17"/>
        <v>9.1253565142244781</v>
      </c>
      <c r="Q204" s="98">
        <f t="shared" si="17"/>
        <v>8.836577083751239</v>
      </c>
      <c r="R204" s="98">
        <f t="shared" si="17"/>
        <v>8.5486331308509307</v>
      </c>
      <c r="S204" s="98">
        <f t="shared" si="17"/>
        <v>8.2614911849274204</v>
      </c>
      <c r="T204" s="98">
        <f t="shared" si="17"/>
        <v>7.9751195396734564</v>
      </c>
      <c r="U204" s="98">
        <f t="shared" si="17"/>
        <v>7.6894881383345552</v>
      </c>
      <c r="V204" s="98">
        <f t="shared" si="17"/>
        <v>7.4045684678117638</v>
      </c>
      <c r="W204" s="98">
        <f t="shared" si="17"/>
        <v>7.3555815718264546</v>
      </c>
      <c r="X204" s="98">
        <f t="shared" si="17"/>
        <v>7.3067207305258997</v>
      </c>
      <c r="Y204" s="98">
        <f t="shared" si="17"/>
        <v>7.2579838774398633</v>
      </c>
      <c r="Z204" s="98">
        <f t="shared" si="17"/>
        <v>7.2093689910213623</v>
      </c>
      <c r="AA204" s="98">
        <f t="shared" si="17"/>
        <v>7.1608740934325494</v>
      </c>
      <c r="AD204" s="150">
        <f t="shared" si="16"/>
        <v>199</v>
      </c>
    </row>
    <row r="205" spans="9:30" outlineLevel="1" x14ac:dyDescent="0.2">
      <c r="I205" s="96"/>
      <c r="J205" s="92"/>
      <c r="K205" s="105" t="s">
        <v>358</v>
      </c>
      <c r="L205" s="137"/>
      <c r="M205" s="108"/>
      <c r="N205" s="98" cm="1">
        <f t="array" ref="N205:AA205">($N$180/$N$204)*forecast_solar.o_m.costs_CA</f>
        <v>8</v>
      </c>
      <c r="O205" s="98">
        <v>7.7605015436553648</v>
      </c>
      <c r="P205" s="98">
        <v>7.5217517053112974</v>
      </c>
      <c r="Q205" s="98">
        <v>7.2837196711398073</v>
      </c>
      <c r="R205" s="98">
        <v>7.0463762955263851</v>
      </c>
      <c r="S205" s="98">
        <v>6.8096939896844288</v>
      </c>
      <c r="T205" s="98">
        <v>6.5736466190765892</v>
      </c>
      <c r="U205" s="98">
        <v>6.338209408841311</v>
      </c>
      <c r="V205" s="98">
        <v>6.1033588565049817</v>
      </c>
      <c r="W205" s="98">
        <v>6.0629804594701868</v>
      </c>
      <c r="X205" s="98">
        <v>6.0227059654487736</v>
      </c>
      <c r="Y205" s="98">
        <v>5.9825336711126598</v>
      </c>
      <c r="Z205" s="98">
        <v>5.9424619101626224</v>
      </c>
      <c r="AA205" s="98">
        <v>5.9024890523275388</v>
      </c>
      <c r="AD205" s="150">
        <f t="shared" si="16"/>
        <v>200</v>
      </c>
    </row>
    <row r="206" spans="9:30" outlineLevel="1" x14ac:dyDescent="0.2">
      <c r="I206" s="96"/>
      <c r="J206" s="92"/>
      <c r="K206" s="105" t="s">
        <v>359</v>
      </c>
      <c r="L206" s="137"/>
      <c r="M206" s="108"/>
      <c r="N206" s="98" cm="1">
        <f t="array" ref="N206:AA206">($N$183/$N$204)*forecast_solar.o_m.costs_CA</f>
        <v>9.25</v>
      </c>
      <c r="O206" s="98">
        <v>8.9730799098515153</v>
      </c>
      <c r="P206" s="98">
        <v>8.6970254092661872</v>
      </c>
      <c r="Q206" s="98">
        <v>8.421800869755403</v>
      </c>
      <c r="R206" s="98">
        <v>8.147372591702382</v>
      </c>
      <c r="S206" s="98">
        <v>7.8737086755726207</v>
      </c>
      <c r="T206" s="98">
        <v>7.6007789033073063</v>
      </c>
      <c r="U206" s="98">
        <v>7.3285546289727659</v>
      </c>
      <c r="V206" s="98">
        <v>7.0570086778338847</v>
      </c>
      <c r="W206" s="98">
        <v>7.0103211562624033</v>
      </c>
      <c r="X206" s="98">
        <v>6.9637537725501453</v>
      </c>
      <c r="Y206" s="98">
        <v>6.9173045572240133</v>
      </c>
      <c r="Z206" s="98">
        <v>6.8709715836255318</v>
      </c>
      <c r="AA206" s="98">
        <v>6.8247529667537163</v>
      </c>
      <c r="AD206" s="150">
        <f t="shared" si="16"/>
        <v>201</v>
      </c>
    </row>
    <row r="207" spans="9:30" outlineLevel="1" x14ac:dyDescent="0.2">
      <c r="I207" s="96"/>
      <c r="J207" s="105" t="s">
        <v>527</v>
      </c>
      <c r="K207" s="93"/>
      <c r="L207" s="137"/>
      <c r="M207" s="108"/>
      <c r="N207" s="94"/>
      <c r="O207" s="94"/>
      <c r="P207" s="94"/>
      <c r="Q207" s="94"/>
      <c r="R207" s="94"/>
      <c r="S207" s="94"/>
      <c r="T207" s="94"/>
      <c r="U207" s="94"/>
      <c r="V207" s="94"/>
      <c r="W207" s="94"/>
      <c r="X207" s="94"/>
      <c r="Y207" s="94"/>
      <c r="Z207" s="94"/>
      <c r="AA207" s="94"/>
      <c r="AD207" s="150">
        <f t="shared" si="16"/>
        <v>202</v>
      </c>
    </row>
    <row r="208" spans="9:30" outlineLevel="1" x14ac:dyDescent="0.2">
      <c r="I208" s="96"/>
      <c r="J208" s="92"/>
      <c r="K208" s="105" t="s">
        <v>357</v>
      </c>
      <c r="L208" s="137"/>
      <c r="M208" s="108"/>
      <c r="N208" s="98">
        <f t="shared" ref="N208:AA208" si="18">$N$185*USD_to_CAD</f>
        <v>1.3865093241558664</v>
      </c>
      <c r="O208" s="98">
        <f t="shared" si="18"/>
        <v>1.3865093241558664</v>
      </c>
      <c r="P208" s="98">
        <f t="shared" si="18"/>
        <v>1.3865093241558664</v>
      </c>
      <c r="Q208" s="98">
        <f t="shared" si="18"/>
        <v>1.3865093241558664</v>
      </c>
      <c r="R208" s="98">
        <f t="shared" si="18"/>
        <v>1.3865093241558664</v>
      </c>
      <c r="S208" s="98">
        <f t="shared" si="18"/>
        <v>1.3865093241558664</v>
      </c>
      <c r="T208" s="98">
        <f t="shared" si="18"/>
        <v>1.3865093241558664</v>
      </c>
      <c r="U208" s="98">
        <f t="shared" si="18"/>
        <v>1.3865093241558664</v>
      </c>
      <c r="V208" s="98">
        <f t="shared" si="18"/>
        <v>1.3865093241558664</v>
      </c>
      <c r="W208" s="98">
        <f t="shared" si="18"/>
        <v>1.3865093241558664</v>
      </c>
      <c r="X208" s="98">
        <f t="shared" si="18"/>
        <v>1.3865093241558664</v>
      </c>
      <c r="Y208" s="98">
        <f t="shared" si="18"/>
        <v>1.3865093241558664</v>
      </c>
      <c r="Z208" s="98">
        <f t="shared" si="18"/>
        <v>1.3865093241558664</v>
      </c>
      <c r="AA208" s="98">
        <f t="shared" si="18"/>
        <v>1.3865093241558664</v>
      </c>
      <c r="AD208" s="150">
        <f t="shared" si="16"/>
        <v>203</v>
      </c>
    </row>
    <row r="209" spans="8:31" outlineLevel="1" x14ac:dyDescent="0.2">
      <c r="I209" s="96"/>
      <c r="J209" s="92"/>
      <c r="K209" s="105" t="s">
        <v>358</v>
      </c>
      <c r="L209" s="137"/>
      <c r="M209" s="108"/>
      <c r="N209" s="98" cm="1">
        <f t="array" ref="N209:AA209">($N$189/$N$208)*forecast_solar.cleaning.costs_CA</f>
        <v>1</v>
      </c>
      <c r="O209" s="98">
        <v>1</v>
      </c>
      <c r="P209" s="98">
        <v>1</v>
      </c>
      <c r="Q209" s="98">
        <v>1</v>
      </c>
      <c r="R209" s="98">
        <v>1</v>
      </c>
      <c r="S209" s="98">
        <v>1</v>
      </c>
      <c r="T209" s="98">
        <v>1</v>
      </c>
      <c r="U209" s="98">
        <v>1</v>
      </c>
      <c r="V209" s="98">
        <v>1</v>
      </c>
      <c r="W209" s="98">
        <v>1</v>
      </c>
      <c r="X209" s="98">
        <v>1</v>
      </c>
      <c r="Y209" s="98">
        <v>1</v>
      </c>
      <c r="Z209" s="98">
        <v>1</v>
      </c>
      <c r="AA209" s="98">
        <v>1</v>
      </c>
      <c r="AD209" s="150">
        <f t="shared" si="16"/>
        <v>204</v>
      </c>
    </row>
    <row r="210" spans="8:31" outlineLevel="1" x14ac:dyDescent="0.2">
      <c r="I210" s="96"/>
      <c r="J210" s="92"/>
      <c r="K210" s="105" t="s">
        <v>359</v>
      </c>
      <c r="L210" s="137"/>
      <c r="M210" s="108"/>
      <c r="N210" s="98" cm="1">
        <f t="array" ref="N210:AA210">($N$192/$N$208)*forecast_solar.cleaning.costs_CA</f>
        <v>1.25</v>
      </c>
      <c r="O210" s="98">
        <v>1.25</v>
      </c>
      <c r="P210" s="98">
        <v>1.25</v>
      </c>
      <c r="Q210" s="98">
        <v>1.25</v>
      </c>
      <c r="R210" s="98">
        <v>1.25</v>
      </c>
      <c r="S210" s="98">
        <v>1.25</v>
      </c>
      <c r="T210" s="98">
        <v>1.25</v>
      </c>
      <c r="U210" s="98">
        <v>1.25</v>
      </c>
      <c r="V210" s="98">
        <v>1.25</v>
      </c>
      <c r="W210" s="98">
        <v>1.25</v>
      </c>
      <c r="X210" s="98">
        <v>1.25</v>
      </c>
      <c r="Y210" s="98">
        <v>1.25</v>
      </c>
      <c r="Z210" s="98">
        <v>1.25</v>
      </c>
      <c r="AA210" s="98">
        <v>1.25</v>
      </c>
      <c r="AD210" s="150">
        <f t="shared" si="16"/>
        <v>205</v>
      </c>
    </row>
    <row r="211" spans="8:31" outlineLevel="1" x14ac:dyDescent="0.2">
      <c r="I211" s="96"/>
      <c r="J211" s="105" t="s">
        <v>428</v>
      </c>
      <c r="K211" s="93"/>
      <c r="L211" s="137"/>
      <c r="M211" s="108"/>
      <c r="N211" s="98"/>
      <c r="O211" s="98"/>
      <c r="P211" s="98"/>
      <c r="Q211" s="98"/>
      <c r="R211" s="98"/>
      <c r="S211" s="98"/>
      <c r="T211" s="98"/>
      <c r="U211" s="98"/>
      <c r="V211" s="98"/>
      <c r="W211" s="98"/>
      <c r="X211" s="98"/>
      <c r="Y211" s="98"/>
      <c r="Z211" s="98"/>
      <c r="AA211" s="98"/>
      <c r="AD211" s="150">
        <f t="shared" si="16"/>
        <v>206</v>
      </c>
    </row>
    <row r="212" spans="8:31" outlineLevel="1" x14ac:dyDescent="0.2">
      <c r="I212" s="96"/>
      <c r="J212" s="92"/>
      <c r="K212" s="105" t="s">
        <v>357</v>
      </c>
      <c r="L212" s="137"/>
      <c r="M212" s="108"/>
      <c r="N212" s="98">
        <f>$N$200</f>
        <v>25</v>
      </c>
      <c r="O212" s="98">
        <f t="shared" ref="O212:AA212" si="19">$N$200</f>
        <v>25</v>
      </c>
      <c r="P212" s="98">
        <f t="shared" si="19"/>
        <v>25</v>
      </c>
      <c r="Q212" s="98">
        <f t="shared" si="19"/>
        <v>25</v>
      </c>
      <c r="R212" s="98">
        <f t="shared" si="19"/>
        <v>25</v>
      </c>
      <c r="S212" s="98">
        <f t="shared" si="19"/>
        <v>25</v>
      </c>
      <c r="T212" s="98">
        <f t="shared" si="19"/>
        <v>25</v>
      </c>
      <c r="U212" s="98">
        <f t="shared" si="19"/>
        <v>25</v>
      </c>
      <c r="V212" s="98">
        <f t="shared" si="19"/>
        <v>25</v>
      </c>
      <c r="W212" s="98">
        <f t="shared" si="19"/>
        <v>25</v>
      </c>
      <c r="X212" s="98">
        <f t="shared" si="19"/>
        <v>25</v>
      </c>
      <c r="Y212" s="98">
        <f t="shared" si="19"/>
        <v>25</v>
      </c>
      <c r="Z212" s="98">
        <f t="shared" si="19"/>
        <v>25</v>
      </c>
      <c r="AA212" s="98">
        <f t="shared" si="19"/>
        <v>25</v>
      </c>
      <c r="AD212" s="150">
        <f t="shared" si="16"/>
        <v>207</v>
      </c>
    </row>
    <row r="213" spans="8:31" outlineLevel="1" x14ac:dyDescent="0.2">
      <c r="I213" s="96"/>
      <c r="J213" s="92"/>
      <c r="K213" s="105" t="s">
        <v>358</v>
      </c>
      <c r="L213" s="137"/>
      <c r="M213" s="108"/>
      <c r="N213" s="98">
        <f>$N$196</f>
        <v>14</v>
      </c>
      <c r="O213" s="98">
        <f t="shared" ref="O213:AA213" si="20">$N$196</f>
        <v>14</v>
      </c>
      <c r="P213" s="98">
        <f t="shared" si="20"/>
        <v>14</v>
      </c>
      <c r="Q213" s="98">
        <f t="shared" si="20"/>
        <v>14</v>
      </c>
      <c r="R213" s="98">
        <f t="shared" si="20"/>
        <v>14</v>
      </c>
      <c r="S213" s="98">
        <f t="shared" si="20"/>
        <v>14</v>
      </c>
      <c r="T213" s="98">
        <f t="shared" si="20"/>
        <v>14</v>
      </c>
      <c r="U213" s="98">
        <f t="shared" si="20"/>
        <v>14</v>
      </c>
      <c r="V213" s="98">
        <f t="shared" si="20"/>
        <v>14</v>
      </c>
      <c r="W213" s="98">
        <f t="shared" si="20"/>
        <v>14</v>
      </c>
      <c r="X213" s="98">
        <f t="shared" si="20"/>
        <v>14</v>
      </c>
      <c r="Y213" s="98">
        <f t="shared" si="20"/>
        <v>14</v>
      </c>
      <c r="Z213" s="98">
        <f t="shared" si="20"/>
        <v>14</v>
      </c>
      <c r="AA213" s="98">
        <f t="shared" si="20"/>
        <v>14</v>
      </c>
      <c r="AD213" s="150">
        <f t="shared" si="16"/>
        <v>208</v>
      </c>
    </row>
    <row r="214" spans="8:31" outlineLevel="1" x14ac:dyDescent="0.2">
      <c r="I214" s="96"/>
      <c r="J214" s="92"/>
      <c r="K214" s="105" t="s">
        <v>359</v>
      </c>
      <c r="L214" s="137"/>
      <c r="M214" s="108"/>
      <c r="N214" s="98">
        <f>$N$199</f>
        <v>30</v>
      </c>
      <c r="O214" s="98">
        <f t="shared" ref="O214:AA214" si="21">$N$199</f>
        <v>30</v>
      </c>
      <c r="P214" s="98">
        <f t="shared" si="21"/>
        <v>30</v>
      </c>
      <c r="Q214" s="98">
        <f t="shared" si="21"/>
        <v>30</v>
      </c>
      <c r="R214" s="98">
        <f t="shared" si="21"/>
        <v>30</v>
      </c>
      <c r="S214" s="98">
        <f t="shared" si="21"/>
        <v>30</v>
      </c>
      <c r="T214" s="98">
        <f t="shared" si="21"/>
        <v>30</v>
      </c>
      <c r="U214" s="98">
        <f t="shared" si="21"/>
        <v>30</v>
      </c>
      <c r="V214" s="98">
        <f t="shared" si="21"/>
        <v>30</v>
      </c>
      <c r="W214" s="98">
        <f t="shared" si="21"/>
        <v>30</v>
      </c>
      <c r="X214" s="98">
        <f t="shared" si="21"/>
        <v>30</v>
      </c>
      <c r="Y214" s="98">
        <f t="shared" si="21"/>
        <v>30</v>
      </c>
      <c r="Z214" s="98">
        <f t="shared" si="21"/>
        <v>30</v>
      </c>
      <c r="AA214" s="98">
        <f t="shared" si="21"/>
        <v>30</v>
      </c>
      <c r="AD214" s="150">
        <f t="shared" si="16"/>
        <v>209</v>
      </c>
    </row>
    <row r="215" spans="8:31" outlineLevel="1" x14ac:dyDescent="0.2">
      <c r="I215" s="96"/>
      <c r="J215" s="105" t="s">
        <v>429</v>
      </c>
      <c r="K215" s="105"/>
      <c r="L215" s="137"/>
      <c r="M215" s="108"/>
      <c r="N215" s="98"/>
      <c r="O215" s="98"/>
      <c r="P215" s="98"/>
      <c r="Q215" s="98"/>
      <c r="R215" s="98"/>
      <c r="S215" s="98"/>
      <c r="T215" s="98"/>
      <c r="U215" s="98"/>
      <c r="V215" s="98"/>
      <c r="W215" s="98"/>
      <c r="X215" s="98"/>
      <c r="Y215" s="98"/>
      <c r="Z215" s="98"/>
      <c r="AA215" s="98"/>
      <c r="AD215" s="150">
        <f t="shared" si="16"/>
        <v>210</v>
      </c>
    </row>
    <row r="216" spans="8:31" outlineLevel="1" x14ac:dyDescent="0.2">
      <c r="I216" s="96"/>
      <c r="J216" s="92"/>
      <c r="K216" s="105" t="s">
        <v>357</v>
      </c>
      <c r="L216" s="137"/>
      <c r="M216" s="108"/>
      <c r="N216" s="98">
        <v>1.27</v>
      </c>
      <c r="O216" s="98">
        <v>1.27</v>
      </c>
      <c r="P216" s="98">
        <v>1.27</v>
      </c>
      <c r="Q216" s="98">
        <v>1.27</v>
      </c>
      <c r="R216" s="98">
        <v>1.27</v>
      </c>
      <c r="S216" s="98">
        <v>1.27</v>
      </c>
      <c r="T216" s="98">
        <v>1.27</v>
      </c>
      <c r="U216" s="98">
        <v>1.27</v>
      </c>
      <c r="V216" s="98">
        <v>1.27</v>
      </c>
      <c r="W216" s="98">
        <v>1.27</v>
      </c>
      <c r="X216" s="98">
        <v>1.27</v>
      </c>
      <c r="Y216" s="98">
        <v>1.27</v>
      </c>
      <c r="Z216" s="98">
        <v>1.27</v>
      </c>
      <c r="AA216" s="98">
        <v>1.27</v>
      </c>
      <c r="AD216" s="150">
        <f t="shared" si="16"/>
        <v>211</v>
      </c>
    </row>
    <row r="217" spans="8:31" x14ac:dyDescent="0.2">
      <c r="J217" s="58"/>
      <c r="L217" s="77"/>
      <c r="M217" s="35"/>
      <c r="AD217" s="150">
        <f t="shared" si="16"/>
        <v>212</v>
      </c>
    </row>
    <row r="218" spans="8:31" x14ac:dyDescent="0.2">
      <c r="H218" s="72" t="s">
        <v>528</v>
      </c>
      <c r="J218" s="58"/>
      <c r="L218" s="77"/>
      <c r="M218" s="35"/>
      <c r="AD218" s="150"/>
    </row>
    <row r="219" spans="8:31" outlineLevel="1" x14ac:dyDescent="0.2">
      <c r="I219" s="141" t="s">
        <v>529</v>
      </c>
      <c r="J219" s="96"/>
      <c r="K219" s="93"/>
      <c r="L219" s="94"/>
      <c r="M219" s="94"/>
      <c r="N219" s="94"/>
      <c r="O219" s="94"/>
      <c r="P219" s="94"/>
      <c r="Q219" s="94"/>
      <c r="R219" s="94"/>
      <c r="S219" s="94"/>
      <c r="T219" s="94"/>
      <c r="U219" s="94"/>
      <c r="V219" s="94"/>
      <c r="W219" s="94"/>
      <c r="X219" s="94"/>
      <c r="Y219" s="94"/>
      <c r="Z219" s="94"/>
      <c r="AA219" s="94"/>
      <c r="AD219" s="150">
        <f>ROW(A214)</f>
        <v>214</v>
      </c>
    </row>
    <row r="220" spans="8:31" outlineLevel="1" x14ac:dyDescent="0.2">
      <c r="I220" s="141"/>
      <c r="J220" s="92" t="s">
        <v>530</v>
      </c>
      <c r="K220" s="93"/>
      <c r="L220" s="94"/>
      <c r="M220" s="94"/>
      <c r="N220" s="94"/>
      <c r="O220" s="94"/>
      <c r="P220" s="94"/>
      <c r="Q220" s="94"/>
      <c r="R220" s="94"/>
      <c r="S220" s="94"/>
      <c r="T220" s="94"/>
      <c r="U220" s="94"/>
      <c r="V220" s="94"/>
      <c r="W220" s="94"/>
      <c r="X220" s="94"/>
      <c r="Y220" s="94"/>
      <c r="Z220" s="94"/>
      <c r="AA220" s="94"/>
      <c r="AD220" s="150">
        <f>ROW(A215)</f>
        <v>215</v>
      </c>
    </row>
    <row r="221" spans="8:31" outlineLevel="1" x14ac:dyDescent="0.2">
      <c r="I221" s="142"/>
      <c r="J221" s="96"/>
      <c r="K221" s="143" t="s">
        <v>531</v>
      </c>
      <c r="L221" s="95"/>
      <c r="M221" s="95">
        <v>1.33</v>
      </c>
      <c r="N221" s="95">
        <f t="shared" ref="N221:Z221" si="22">M221+($AA$221-$M$221)/COUNT($N$4:$AA$4)</f>
        <v>1.3357142857142859</v>
      </c>
      <c r="O221" s="95">
        <f t="shared" si="22"/>
        <v>1.3414285714285716</v>
      </c>
      <c r="P221" s="95">
        <f t="shared" si="22"/>
        <v>1.3471428571428574</v>
      </c>
      <c r="Q221" s="95">
        <f t="shared" si="22"/>
        <v>1.3528571428571432</v>
      </c>
      <c r="R221" s="95">
        <f t="shared" si="22"/>
        <v>1.358571428571429</v>
      </c>
      <c r="S221" s="95">
        <f t="shared" si="22"/>
        <v>1.3642857142857148</v>
      </c>
      <c r="T221" s="95">
        <f t="shared" si="22"/>
        <v>1.3700000000000006</v>
      </c>
      <c r="U221" s="95">
        <f t="shared" si="22"/>
        <v>1.3757142857142863</v>
      </c>
      <c r="V221" s="95">
        <f t="shared" si="22"/>
        <v>1.3814285714285721</v>
      </c>
      <c r="W221" s="95">
        <f t="shared" si="22"/>
        <v>1.3871428571428579</v>
      </c>
      <c r="X221" s="95">
        <f t="shared" si="22"/>
        <v>1.3928571428571437</v>
      </c>
      <c r="Y221" s="95">
        <f t="shared" si="22"/>
        <v>1.3985714285714295</v>
      </c>
      <c r="Z221" s="95">
        <f t="shared" si="22"/>
        <v>1.4042857142857152</v>
      </c>
      <c r="AA221" s="95">
        <v>1.41</v>
      </c>
      <c r="AD221" s="150">
        <f>ROW(A216)</f>
        <v>216</v>
      </c>
      <c r="AE221" s="32" t="s">
        <v>532</v>
      </c>
    </row>
    <row r="222" spans="8:31" outlineLevel="1" x14ac:dyDescent="0.2">
      <c r="I222" s="141" t="s">
        <v>533</v>
      </c>
      <c r="J222" s="96"/>
      <c r="K222" s="93"/>
      <c r="L222" s="94"/>
      <c r="M222" s="94"/>
      <c r="N222" s="144"/>
      <c r="O222" s="94"/>
      <c r="P222" s="94"/>
      <c r="Q222" s="94"/>
      <c r="R222" s="94"/>
      <c r="S222" s="94"/>
      <c r="T222" s="94"/>
      <c r="U222" s="94"/>
      <c r="V222" s="94"/>
      <c r="W222" s="94"/>
      <c r="X222" s="94"/>
      <c r="Y222" s="94"/>
      <c r="Z222" s="94"/>
      <c r="AA222" s="94"/>
      <c r="AD222" s="150">
        <f>ROW(A217)</f>
        <v>217</v>
      </c>
    </row>
    <row r="223" spans="8:31" outlineLevel="1" x14ac:dyDescent="0.2">
      <c r="I223" s="142"/>
      <c r="J223" s="92" t="s">
        <v>438</v>
      </c>
      <c r="K223" s="93"/>
      <c r="L223" s="94"/>
      <c r="M223" s="145"/>
      <c r="N223" s="145"/>
      <c r="O223" s="94"/>
      <c r="P223" s="145"/>
      <c r="Q223" s="94"/>
      <c r="R223" s="145"/>
      <c r="S223" s="94"/>
      <c r="T223" s="94"/>
      <c r="U223" s="145"/>
      <c r="V223" s="94"/>
      <c r="W223" s="94"/>
      <c r="X223" s="145"/>
      <c r="Y223" s="94"/>
      <c r="Z223" s="94"/>
      <c r="AA223" s="94"/>
      <c r="AD223" s="150" t="e">
        <f>ROW(#REF!)</f>
        <v>#REF!</v>
      </c>
    </row>
    <row r="224" spans="8:31" outlineLevel="1" x14ac:dyDescent="0.2">
      <c r="I224" s="142"/>
      <c r="J224" s="96"/>
      <c r="K224" s="93" t="s">
        <v>534</v>
      </c>
      <c r="L224" s="94"/>
      <c r="M224" s="108">
        <v>0.21343544857768001</v>
      </c>
      <c r="N224" s="108">
        <v>0.21606126914660798</v>
      </c>
      <c r="O224" s="108"/>
      <c r="P224" s="108">
        <v>0.22122538293216598</v>
      </c>
      <c r="Q224" s="108"/>
      <c r="R224" s="108">
        <v>0.232122538293216</v>
      </c>
      <c r="S224" s="108"/>
      <c r="T224" s="108"/>
      <c r="U224" s="108">
        <v>0.23750547045951825</v>
      </c>
      <c r="V224" s="108"/>
      <c r="W224" s="108"/>
      <c r="X224" s="108">
        <v>0.24236323851203451</v>
      </c>
      <c r="Y224" s="108"/>
      <c r="Z224" s="94"/>
      <c r="AA224" s="94"/>
      <c r="AD224" s="150">
        <f>ROW(A219)</f>
        <v>219</v>
      </c>
    </row>
    <row r="225" spans="6:30" outlineLevel="1" x14ac:dyDescent="0.2">
      <c r="I225" s="142"/>
      <c r="J225" s="96"/>
      <c r="K225" s="93" t="s">
        <v>535</v>
      </c>
      <c r="L225" s="94"/>
      <c r="M225" s="94"/>
      <c r="N225" s="108">
        <f t="shared" ref="N225:AA225" si="23">0.0122*LN(N4-2020)+0.2098</f>
        <v>0.21825639560283133</v>
      </c>
      <c r="O225" s="108">
        <f t="shared" si="23"/>
        <v>0.22320306992175093</v>
      </c>
      <c r="P225" s="108">
        <f t="shared" si="23"/>
        <v>0.22671279120566265</v>
      </c>
      <c r="Q225" s="108">
        <f t="shared" si="23"/>
        <v>0.229435142531696</v>
      </c>
      <c r="R225" s="108">
        <f t="shared" si="23"/>
        <v>0.23165946552458225</v>
      </c>
      <c r="S225" s="108">
        <f t="shared" si="23"/>
        <v>0.23354010381847481</v>
      </c>
      <c r="T225" s="108">
        <f t="shared" si="23"/>
        <v>0.235169186808494</v>
      </c>
      <c r="U225" s="108">
        <f t="shared" si="23"/>
        <v>0.23660613984350187</v>
      </c>
      <c r="V225" s="108">
        <f t="shared" si="23"/>
        <v>0.23789153813452735</v>
      </c>
      <c r="W225" s="108">
        <f t="shared" si="23"/>
        <v>0.23905432232814011</v>
      </c>
      <c r="X225" s="108">
        <f t="shared" si="23"/>
        <v>0.24011586112741359</v>
      </c>
      <c r="Y225" s="108">
        <f t="shared" si="23"/>
        <v>0.24109238216103074</v>
      </c>
      <c r="Z225" s="108">
        <f t="shared" si="23"/>
        <v>0.24199649942130613</v>
      </c>
      <c r="AA225" s="108">
        <f t="shared" si="23"/>
        <v>0.24283821245344694</v>
      </c>
      <c r="AD225" s="150">
        <f>ROW(A220)</f>
        <v>220</v>
      </c>
    </row>
    <row r="226" spans="6:30" outlineLevel="1" x14ac:dyDescent="0.2">
      <c r="I226" s="141" t="s">
        <v>536</v>
      </c>
      <c r="J226" s="96"/>
      <c r="K226" s="93"/>
      <c r="L226" s="146"/>
      <c r="M226" s="94"/>
      <c r="N226" s="108"/>
      <c r="O226" s="108"/>
      <c r="P226" s="108"/>
      <c r="Q226" s="108"/>
      <c r="R226" s="108"/>
      <c r="S226" s="108"/>
      <c r="T226" s="108"/>
      <c r="U226" s="108"/>
      <c r="V226" s="108"/>
      <c r="W226" s="108"/>
      <c r="X226" s="108"/>
      <c r="Y226" s="108"/>
      <c r="Z226" s="108"/>
      <c r="AA226" s="108"/>
      <c r="AD226" s="150">
        <f>ROW(A225)</f>
        <v>225</v>
      </c>
    </row>
    <row r="227" spans="6:30" outlineLevel="1" x14ac:dyDescent="0.2">
      <c r="I227" s="141"/>
      <c r="J227" s="96"/>
      <c r="K227" s="93" t="s">
        <v>537</v>
      </c>
      <c r="L227" s="94"/>
      <c r="M227" s="94"/>
      <c r="N227" s="145">
        <v>32</v>
      </c>
      <c r="O227" s="145">
        <f t="shared" ref="O227:Z227" si="24">($AA$227-$N$227)/COUNT($O$4:$AA$4)+N227</f>
        <v>32.769230769230766</v>
      </c>
      <c r="P227" s="145">
        <f t="shared" si="24"/>
        <v>33.538461538461533</v>
      </c>
      <c r="Q227" s="145">
        <f t="shared" si="24"/>
        <v>34.307692307692299</v>
      </c>
      <c r="R227" s="145">
        <f t="shared" si="24"/>
        <v>35.076923076923066</v>
      </c>
      <c r="S227" s="145">
        <f t="shared" si="24"/>
        <v>35.846153846153832</v>
      </c>
      <c r="T227" s="145">
        <f t="shared" si="24"/>
        <v>36.615384615384599</v>
      </c>
      <c r="U227" s="145">
        <f t="shared" si="24"/>
        <v>37.384615384615365</v>
      </c>
      <c r="V227" s="145">
        <f t="shared" si="24"/>
        <v>38.153846153846132</v>
      </c>
      <c r="W227" s="145">
        <f t="shared" si="24"/>
        <v>38.923076923076898</v>
      </c>
      <c r="X227" s="145">
        <f t="shared" si="24"/>
        <v>39.692307692307665</v>
      </c>
      <c r="Y227" s="145">
        <f t="shared" si="24"/>
        <v>40.461538461538431</v>
      </c>
      <c r="Z227" s="145">
        <f t="shared" si="24"/>
        <v>41.230769230769198</v>
      </c>
      <c r="AA227" s="145">
        <v>42</v>
      </c>
      <c r="AD227" s="150" t="e">
        <f>ROW(#REF!)</f>
        <v>#REF!</v>
      </c>
    </row>
    <row r="228" spans="6:30" outlineLevel="1" x14ac:dyDescent="0.2">
      <c r="I228" s="96"/>
      <c r="J228" s="96"/>
      <c r="K228" s="93" t="s">
        <v>538</v>
      </c>
      <c r="L228" s="94"/>
      <c r="M228" s="94"/>
      <c r="N228" s="145">
        <f>+ROUND(N227,0)</f>
        <v>32</v>
      </c>
      <c r="O228" s="145">
        <f t="shared" ref="O228:AA228" si="25">+ROUND(O227,0)</f>
        <v>33</v>
      </c>
      <c r="P228" s="145">
        <f t="shared" si="25"/>
        <v>34</v>
      </c>
      <c r="Q228" s="145">
        <f t="shared" si="25"/>
        <v>34</v>
      </c>
      <c r="R228" s="145">
        <f t="shared" si="25"/>
        <v>35</v>
      </c>
      <c r="S228" s="145">
        <f t="shared" si="25"/>
        <v>36</v>
      </c>
      <c r="T228" s="145">
        <f t="shared" si="25"/>
        <v>37</v>
      </c>
      <c r="U228" s="145">
        <f t="shared" si="25"/>
        <v>37</v>
      </c>
      <c r="V228" s="145">
        <f t="shared" si="25"/>
        <v>38</v>
      </c>
      <c r="W228" s="145">
        <f t="shared" si="25"/>
        <v>39</v>
      </c>
      <c r="X228" s="145">
        <f t="shared" si="25"/>
        <v>40</v>
      </c>
      <c r="Y228" s="145">
        <f t="shared" si="25"/>
        <v>40</v>
      </c>
      <c r="Z228" s="145">
        <f t="shared" si="25"/>
        <v>41</v>
      </c>
      <c r="AA228" s="145">
        <f t="shared" si="25"/>
        <v>42</v>
      </c>
      <c r="AD228" s="150" t="e">
        <f>ROW(#REF!)</f>
        <v>#REF!</v>
      </c>
    </row>
    <row r="229" spans="6:30" outlineLevel="1" x14ac:dyDescent="0.2">
      <c r="G229"/>
      <c r="H229"/>
      <c r="I229" s="141"/>
      <c r="J229" s="96"/>
      <c r="K229" s="93"/>
      <c r="L229" s="146"/>
      <c r="M229" s="94"/>
      <c r="N229" s="144"/>
      <c r="O229" s="94"/>
      <c r="P229" s="94"/>
      <c r="Q229" s="94"/>
      <c r="R229" s="94"/>
      <c r="S229" s="94"/>
      <c r="T229" s="94"/>
      <c r="U229" s="94"/>
      <c r="V229" s="94"/>
      <c r="W229" s="94"/>
      <c r="X229" s="94"/>
      <c r="Y229" s="94"/>
      <c r="Z229" s="94"/>
      <c r="AA229" s="94"/>
      <c r="AD229" s="150"/>
    </row>
    <row r="230" spans="6:30" outlineLevel="1" x14ac:dyDescent="0.2">
      <c r="G230"/>
      <c r="H230"/>
      <c r="I230" s="141"/>
      <c r="J230" s="96"/>
      <c r="K230" s="147"/>
      <c r="L230" s="147"/>
      <c r="M230" s="147"/>
      <c r="N230" s="147"/>
      <c r="O230" s="147"/>
      <c r="P230" s="147"/>
      <c r="Q230" s="147"/>
      <c r="R230" s="147"/>
      <c r="S230" s="94"/>
      <c r="T230" s="94"/>
      <c r="U230" s="94"/>
      <c r="V230" s="94"/>
      <c r="W230" s="94"/>
      <c r="X230" s="94"/>
      <c r="Y230" s="94"/>
      <c r="Z230" s="94"/>
      <c r="AA230" s="94"/>
      <c r="AD230" s="150">
        <f>ROW(A226)</f>
        <v>226</v>
      </c>
    </row>
    <row r="231" spans="6:30" x14ac:dyDescent="0.2">
      <c r="F231"/>
      <c r="G231"/>
      <c r="H231"/>
      <c r="K231" s="32"/>
      <c r="L231"/>
      <c r="M231" s="9"/>
      <c r="N231" s="9"/>
      <c r="O231" s="9"/>
      <c r="P231" s="9"/>
      <c r="Q231" s="9"/>
      <c r="R231" s="9"/>
    </row>
    <row r="232" spans="6:30" x14ac:dyDescent="0.2">
      <c r="F232"/>
      <c r="G232"/>
      <c r="H232"/>
      <c r="K232" s="32"/>
      <c r="L232"/>
      <c r="M232" s="9"/>
      <c r="N232" s="9"/>
      <c r="O232" s="9"/>
      <c r="P232" s="9"/>
      <c r="Q232" s="9"/>
      <c r="R232" s="9"/>
    </row>
    <row r="233" spans="6:30" x14ac:dyDescent="0.2">
      <c r="F233"/>
      <c r="G233"/>
      <c r="H233"/>
      <c r="K233" s="32"/>
      <c r="L233"/>
      <c r="M233" s="9"/>
      <c r="N233" s="9"/>
      <c r="O233" s="9"/>
      <c r="P233" s="9"/>
      <c r="Q233" s="9"/>
      <c r="R233" s="9"/>
    </row>
    <row r="234" spans="6:30" x14ac:dyDescent="0.2">
      <c r="F234"/>
      <c r="G234"/>
      <c r="H234"/>
      <c r="K234" s="32"/>
      <c r="L234"/>
      <c r="M234" s="9"/>
      <c r="N234" s="9"/>
      <c r="O234" s="9"/>
      <c r="P234" s="9"/>
      <c r="Q234" s="9"/>
      <c r="R234" s="9"/>
    </row>
    <row r="235" spans="6:30" x14ac:dyDescent="0.2">
      <c r="F235"/>
      <c r="G235"/>
      <c r="H235"/>
      <c r="K235" s="32"/>
      <c r="L235"/>
      <c r="M235" s="9"/>
      <c r="N235" s="9"/>
      <c r="O235" s="9"/>
      <c r="P235" s="9"/>
      <c r="Q235" s="9"/>
      <c r="R235" s="9"/>
    </row>
    <row r="236" spans="6:30" x14ac:dyDescent="0.2">
      <c r="F236"/>
      <c r="G236"/>
      <c r="H236"/>
      <c r="K236" s="32"/>
      <c r="L236"/>
      <c r="M236" s="9"/>
      <c r="N236" s="9"/>
      <c r="O236" s="9"/>
      <c r="P236" s="9"/>
      <c r="Q236" s="9"/>
      <c r="R236" s="9"/>
    </row>
    <row r="237" spans="6:30" x14ac:dyDescent="0.2">
      <c r="F237"/>
      <c r="G237"/>
      <c r="H237"/>
      <c r="K237" s="32"/>
      <c r="L237"/>
      <c r="M237" s="9"/>
      <c r="N237" s="9"/>
      <c r="O237" s="9"/>
      <c r="P237" s="9"/>
      <c r="Q237" s="9"/>
      <c r="R237" s="9"/>
    </row>
    <row r="238" spans="6:30" x14ac:dyDescent="0.2">
      <c r="F238"/>
      <c r="G238"/>
      <c r="H238"/>
      <c r="K238" s="32"/>
      <c r="L238"/>
      <c r="M238" s="9"/>
      <c r="N238" s="9"/>
      <c r="O238" s="9"/>
      <c r="P238" s="9"/>
      <c r="Q238" s="9"/>
      <c r="R238" s="9"/>
      <c r="S238" s="76"/>
    </row>
    <row r="239" spans="6:30" x14ac:dyDescent="0.2">
      <c r="F239"/>
      <c r="G239"/>
      <c r="H239"/>
      <c r="K239" s="32"/>
      <c r="L239"/>
      <c r="M239" s="9"/>
      <c r="N239" s="9"/>
      <c r="O239" s="9"/>
      <c r="P239" s="9"/>
      <c r="Q239" s="9"/>
      <c r="R239" s="9"/>
    </row>
    <row r="240" spans="6:30" x14ac:dyDescent="0.2">
      <c r="F240"/>
      <c r="G240"/>
      <c r="H240"/>
      <c r="K240" s="32"/>
      <c r="L240"/>
      <c r="M240" s="9"/>
      <c r="N240" s="9"/>
      <c r="O240" s="9"/>
      <c r="P240" s="9"/>
      <c r="Q240" s="9"/>
      <c r="R240" s="9"/>
    </row>
    <row r="241" spans="5:24" x14ac:dyDescent="0.2">
      <c r="F241"/>
      <c r="G241"/>
      <c r="H241"/>
      <c r="K241" s="32"/>
      <c r="L241"/>
      <c r="M241" s="9"/>
      <c r="N241" s="9"/>
      <c r="O241" s="9"/>
      <c r="P241" s="9"/>
      <c r="Q241" s="9"/>
      <c r="R241" s="9"/>
    </row>
    <row r="242" spans="5:24" x14ac:dyDescent="0.2">
      <c r="F242"/>
      <c r="G242"/>
      <c r="H242"/>
      <c r="K242" s="32"/>
      <c r="L242"/>
      <c r="M242" s="9"/>
      <c r="N242" s="9"/>
      <c r="O242" s="9"/>
      <c r="P242" s="9"/>
      <c r="Q242" s="9"/>
      <c r="R242" s="9"/>
    </row>
    <row r="243" spans="5:24" x14ac:dyDescent="0.2">
      <c r="F243"/>
      <c r="G243"/>
      <c r="H243"/>
      <c r="K243" s="32"/>
      <c r="L243"/>
      <c r="M243" s="9"/>
      <c r="N243" s="9"/>
      <c r="O243" s="9"/>
      <c r="P243" s="9"/>
      <c r="Q243" s="9"/>
      <c r="R243" s="9"/>
    </row>
    <row r="244" spans="5:24" x14ac:dyDescent="0.2">
      <c r="K244" s="32"/>
      <c r="L244"/>
      <c r="M244" s="9"/>
      <c r="N244" s="9"/>
      <c r="O244" s="9"/>
      <c r="P244" s="9"/>
      <c r="Q244" s="9"/>
      <c r="R244" s="9"/>
    </row>
    <row r="245" spans="5:24" x14ac:dyDescent="0.2">
      <c r="K245" s="32"/>
      <c r="L245"/>
      <c r="M245" s="9"/>
      <c r="N245" s="9"/>
      <c r="O245" s="9"/>
      <c r="P245" s="9"/>
      <c r="Q245" s="9"/>
      <c r="R245" s="9"/>
    </row>
    <row r="251" spans="5:24" x14ac:dyDescent="0.2">
      <c r="F251"/>
      <c r="G251"/>
      <c r="H251"/>
    </row>
    <row r="252" spans="5:24" x14ac:dyDescent="0.2">
      <c r="F252"/>
      <c r="G252"/>
      <c r="H252"/>
    </row>
    <row r="253" spans="5:24" x14ac:dyDescent="0.2">
      <c r="F253"/>
      <c r="G253"/>
      <c r="H253"/>
      <c r="K253" s="32"/>
      <c r="L253"/>
      <c r="M253" s="9"/>
      <c r="N253" s="9"/>
      <c r="O253" s="9"/>
      <c r="P253" s="9"/>
      <c r="Q253" s="9"/>
      <c r="R253" s="9"/>
      <c r="S253" s="9"/>
      <c r="T253" s="9"/>
      <c r="U253" s="9"/>
      <c r="V253" s="9"/>
      <c r="W253" s="9"/>
      <c r="X253" s="9"/>
    </row>
    <row r="254" spans="5:24" x14ac:dyDescent="0.2">
      <c r="F254"/>
      <c r="G254"/>
      <c r="H254"/>
      <c r="K254" s="32"/>
      <c r="L254"/>
      <c r="M254" s="9"/>
      <c r="N254" s="9"/>
      <c r="O254" s="9"/>
      <c r="P254" s="9"/>
      <c r="Q254" s="9"/>
      <c r="R254" s="9"/>
      <c r="S254" s="9"/>
      <c r="T254" s="9"/>
      <c r="U254" s="9"/>
      <c r="V254" s="9"/>
      <c r="W254" s="9"/>
      <c r="X254" s="9"/>
    </row>
    <row r="255" spans="5:24" x14ac:dyDescent="0.2">
      <c r="F255"/>
      <c r="G255"/>
      <c r="H255"/>
      <c r="K255" s="32"/>
      <c r="L255"/>
      <c r="M255" s="9"/>
      <c r="N255" s="9"/>
      <c r="O255" s="9"/>
      <c r="P255" s="9"/>
      <c r="Q255" s="9"/>
      <c r="R255" s="9"/>
      <c r="S255" s="9"/>
      <c r="T255" s="9"/>
      <c r="U255" s="9"/>
      <c r="V255" s="9"/>
      <c r="W255" s="9"/>
      <c r="X255" s="9"/>
    </row>
    <row r="256" spans="5:24" x14ac:dyDescent="0.2">
      <c r="E256" s="21"/>
      <c r="F256" s="21"/>
      <c r="G256" s="21"/>
      <c r="H256" s="21"/>
      <c r="I256" s="21"/>
      <c r="J256" s="21"/>
      <c r="K256" s="32"/>
      <c r="L256"/>
      <c r="M256" s="9"/>
      <c r="N256" s="9"/>
      <c r="O256" s="9"/>
      <c r="P256" s="9"/>
      <c r="Q256" s="9"/>
      <c r="R256" s="9"/>
      <c r="S256" s="9"/>
      <c r="T256" s="9"/>
      <c r="U256" s="9"/>
      <c r="V256" s="9"/>
      <c r="W256" s="9"/>
      <c r="X256" s="9"/>
    </row>
    <row r="257" spans="5:24" x14ac:dyDescent="0.2">
      <c r="E257" s="21"/>
      <c r="F257" s="21"/>
      <c r="G257" s="21"/>
      <c r="H257" s="21"/>
      <c r="I257" s="21"/>
      <c r="J257" s="21"/>
      <c r="K257" s="32"/>
      <c r="L257"/>
      <c r="M257" s="9"/>
      <c r="N257" s="9"/>
      <c r="O257" s="9"/>
      <c r="P257" s="9"/>
      <c r="Q257" s="9"/>
      <c r="R257" s="9"/>
      <c r="S257" s="9"/>
      <c r="T257" s="9"/>
      <c r="U257" s="9"/>
      <c r="V257" s="9"/>
      <c r="W257" s="9"/>
      <c r="X257" s="9"/>
    </row>
    <row r="258" spans="5:24" x14ac:dyDescent="0.2">
      <c r="E258" s="21"/>
      <c r="F258" s="21"/>
      <c r="G258" s="21"/>
      <c r="H258" s="21"/>
      <c r="I258" s="21"/>
      <c r="J258" s="21"/>
      <c r="K258" s="21"/>
    </row>
    <row r="259" spans="5:24" x14ac:dyDescent="0.2">
      <c r="E259" s="21"/>
      <c r="F259" s="21"/>
      <c r="G259" s="21"/>
      <c r="H259" s="21"/>
      <c r="I259" s="21"/>
      <c r="J259" s="21"/>
      <c r="K259" s="21"/>
    </row>
    <row r="260" spans="5:24" x14ac:dyDescent="0.2">
      <c r="E260" s="21"/>
      <c r="F260" s="21"/>
      <c r="G260" s="21"/>
      <c r="H260" s="21"/>
      <c r="I260" s="21"/>
      <c r="J260" s="21"/>
      <c r="K260" s="21"/>
    </row>
    <row r="261" spans="5:24" x14ac:dyDescent="0.2">
      <c r="E261" s="21"/>
      <c r="F261" s="21"/>
      <c r="G261" s="21"/>
      <c r="H261" s="21"/>
      <c r="I261" s="21"/>
      <c r="J261" s="21"/>
      <c r="K261" s="21"/>
    </row>
    <row r="262" spans="5:24" x14ac:dyDescent="0.2">
      <c r="E262" s="21"/>
      <c r="F262" s="21"/>
      <c r="G262" s="21"/>
      <c r="H262" s="21"/>
      <c r="I262" s="21"/>
      <c r="J262" s="21"/>
      <c r="K262" s="21"/>
    </row>
    <row r="263" spans="5:24" x14ac:dyDescent="0.2">
      <c r="E263" s="21"/>
      <c r="F263" s="21"/>
      <c r="G263" s="21"/>
      <c r="H263" s="21"/>
      <c r="I263" s="21"/>
      <c r="J263" s="21"/>
      <c r="K263" s="21"/>
    </row>
    <row r="264" spans="5:24" x14ac:dyDescent="0.2">
      <c r="E264" s="21"/>
      <c r="F264" s="21"/>
      <c r="G264" s="21"/>
      <c r="H264" s="21"/>
      <c r="I264" s="21"/>
      <c r="J264" s="21"/>
      <c r="K264" s="21"/>
    </row>
    <row r="265" spans="5:24" x14ac:dyDescent="0.2">
      <c r="E265" s="21"/>
      <c r="F265" s="21"/>
      <c r="G265" s="21"/>
      <c r="H265" s="21"/>
      <c r="I265" s="21"/>
      <c r="J265" s="21"/>
      <c r="K265" s="21"/>
    </row>
    <row r="266" spans="5:24" x14ac:dyDescent="0.2">
      <c r="E266" s="21"/>
      <c r="F266" s="21"/>
      <c r="G266" s="21"/>
      <c r="H266" s="21"/>
      <c r="I266" s="21"/>
      <c r="J266" s="21"/>
      <c r="K266" s="21"/>
    </row>
    <row r="267" spans="5:24" x14ac:dyDescent="0.2">
      <c r="E267" s="21"/>
      <c r="F267" s="21"/>
      <c r="G267" s="21"/>
      <c r="H267" s="21"/>
      <c r="I267" s="21"/>
      <c r="J267" s="21"/>
      <c r="K267" s="21"/>
    </row>
    <row r="268" spans="5:24" x14ac:dyDescent="0.2">
      <c r="E268" s="21"/>
      <c r="F268" s="21"/>
      <c r="G268" s="21"/>
      <c r="H268" s="21"/>
      <c r="I268" s="21"/>
      <c r="J268" s="21"/>
      <c r="K268" s="21"/>
    </row>
    <row r="269" spans="5:24" x14ac:dyDescent="0.2">
      <c r="E269" s="21"/>
      <c r="F269" s="21"/>
      <c r="G269" s="21"/>
      <c r="H269" s="21"/>
      <c r="I269" s="21"/>
      <c r="J269" s="21"/>
      <c r="K269" s="21"/>
    </row>
    <row r="270" spans="5:24" x14ac:dyDescent="0.2">
      <c r="E270" s="21"/>
      <c r="F270" s="21"/>
      <c r="G270" s="21"/>
      <c r="H270" s="21"/>
      <c r="I270" s="21"/>
      <c r="J270" s="21"/>
      <c r="K270" s="21"/>
    </row>
    <row r="271" spans="5:24" x14ac:dyDescent="0.2">
      <c r="E271" s="21"/>
      <c r="F271" s="21"/>
      <c r="G271" s="21"/>
      <c r="H271" s="21"/>
      <c r="I271" s="21"/>
      <c r="J271" s="21"/>
      <c r="K271" s="21"/>
    </row>
    <row r="272" spans="5:24" x14ac:dyDescent="0.2">
      <c r="E272" s="21"/>
      <c r="F272" s="21"/>
      <c r="G272" s="21"/>
      <c r="H272" s="21"/>
      <c r="I272" s="21"/>
      <c r="J272" s="21"/>
      <c r="K272" s="21"/>
    </row>
    <row r="273" spans="7:11" x14ac:dyDescent="0.2">
      <c r="G273" s="21"/>
      <c r="H273" s="21"/>
      <c r="I273" s="21"/>
      <c r="J273" s="21"/>
      <c r="K273" s="21"/>
    </row>
    <row r="274" spans="7:11" x14ac:dyDescent="0.2">
      <c r="G274" s="21"/>
      <c r="H274" s="21"/>
      <c r="I274" s="21"/>
      <c r="J274" s="21"/>
      <c r="K274" s="21"/>
    </row>
    <row r="275" spans="7:11" x14ac:dyDescent="0.2">
      <c r="G275" s="21"/>
      <c r="H275" s="21"/>
      <c r="I275" s="21"/>
      <c r="J275" s="21"/>
      <c r="K275" s="21"/>
    </row>
    <row r="276" spans="7:11" x14ac:dyDescent="0.2">
      <c r="G276" s="21"/>
      <c r="H276" s="21"/>
      <c r="I276" s="21"/>
      <c r="J276" s="21"/>
      <c r="K276" s="21"/>
    </row>
    <row r="277" spans="7:11" x14ac:dyDescent="0.2">
      <c r="G277" s="21"/>
      <c r="H277" s="21"/>
      <c r="I277" s="21"/>
      <c r="J277" s="21"/>
      <c r="K277" s="21"/>
    </row>
    <row r="278" spans="7:11" x14ac:dyDescent="0.2">
      <c r="G278" s="21"/>
      <c r="H278" s="21"/>
      <c r="I278" s="21"/>
      <c r="J278" s="21"/>
      <c r="K278" s="21"/>
    </row>
    <row r="279" spans="7:11" x14ac:dyDescent="0.2">
      <c r="G279" s="21"/>
      <c r="H279" s="21"/>
      <c r="I279" s="21"/>
      <c r="J279" s="21"/>
      <c r="K279" s="21"/>
    </row>
    <row r="280" spans="7:11" x14ac:dyDescent="0.2">
      <c r="G280" s="21"/>
      <c r="H280" s="21"/>
      <c r="I280" s="21"/>
      <c r="J280" s="21"/>
      <c r="K280" s="21"/>
    </row>
    <row r="281" spans="7:11" x14ac:dyDescent="0.2">
      <c r="G281" s="21"/>
      <c r="H281" s="21"/>
      <c r="I281" s="21"/>
      <c r="J281" s="21"/>
      <c r="K281" s="21"/>
    </row>
    <row r="282" spans="7:11" x14ac:dyDescent="0.2">
      <c r="G282" s="21"/>
      <c r="H282" s="21"/>
      <c r="I282" s="21"/>
      <c r="J282" s="21"/>
      <c r="K282" s="21"/>
    </row>
    <row r="283" spans="7:11" x14ac:dyDescent="0.2">
      <c r="G283" s="21"/>
      <c r="H283" s="21"/>
      <c r="I283" s="21"/>
      <c r="J283" s="21"/>
      <c r="K283" s="21"/>
    </row>
    <row r="284" spans="7:11" x14ac:dyDescent="0.2">
      <c r="G284" s="21"/>
      <c r="H284" s="21"/>
      <c r="I284" s="21"/>
      <c r="J284" s="21"/>
      <c r="K284" s="21"/>
    </row>
    <row r="285" spans="7:11" x14ac:dyDescent="0.2">
      <c r="G285" s="21"/>
      <c r="H285" s="21"/>
      <c r="I285" s="21"/>
      <c r="J285" s="21"/>
      <c r="K285" s="21"/>
    </row>
    <row r="286" spans="7:11" x14ac:dyDescent="0.2">
      <c r="G286" s="21"/>
      <c r="H286" s="21"/>
      <c r="I286" s="21"/>
      <c r="J286" s="21"/>
      <c r="K286" s="21"/>
    </row>
    <row r="287" spans="7:11" x14ac:dyDescent="0.2">
      <c r="G287" s="21"/>
      <c r="H287" s="21"/>
      <c r="I287" s="21"/>
      <c r="J287" s="21"/>
      <c r="K287" s="21"/>
    </row>
    <row r="288" spans="7:11" x14ac:dyDescent="0.2">
      <c r="G288" s="21"/>
      <c r="H288" s="21"/>
      <c r="I288" s="21"/>
      <c r="J288" s="21"/>
      <c r="K288" s="21"/>
    </row>
    <row r="289" spans="7:11" x14ac:dyDescent="0.2">
      <c r="G289" s="21"/>
      <c r="H289" s="21"/>
      <c r="I289" s="21"/>
      <c r="J289" s="21"/>
      <c r="K289" s="21"/>
    </row>
    <row r="290" spans="7:11" x14ac:dyDescent="0.2">
      <c r="G290" s="21"/>
      <c r="H290" s="21"/>
      <c r="I290" s="21"/>
      <c r="J290" s="21"/>
      <c r="K290" s="21"/>
    </row>
    <row r="291" spans="7:11" x14ac:dyDescent="0.2">
      <c r="G291" s="21"/>
      <c r="H291" s="21"/>
      <c r="I291" s="21"/>
      <c r="J291" s="21"/>
      <c r="K291" s="21"/>
    </row>
    <row r="292" spans="7:11" x14ac:dyDescent="0.2">
      <c r="G292" s="21"/>
      <c r="H292" s="21"/>
      <c r="I292" s="21"/>
      <c r="J292" s="21"/>
      <c r="K292" s="21"/>
    </row>
    <row r="293" spans="7:11" x14ac:dyDescent="0.2">
      <c r="G293" s="21"/>
      <c r="H293" s="21"/>
      <c r="I293" s="21"/>
      <c r="J293" s="21"/>
      <c r="K293" s="21"/>
    </row>
    <row r="294" spans="7:11" x14ac:dyDescent="0.2">
      <c r="G294" s="21"/>
      <c r="H294" s="21"/>
      <c r="I294" s="21"/>
      <c r="J294" s="21"/>
      <c r="K294" s="21"/>
    </row>
    <row r="295" spans="7:11" x14ac:dyDescent="0.2">
      <c r="G295" s="21"/>
      <c r="H295" s="21"/>
      <c r="I295" s="21"/>
      <c r="J295" s="21"/>
      <c r="K295" s="21"/>
    </row>
    <row r="296" spans="7:11" x14ac:dyDescent="0.2">
      <c r="K296" s="21"/>
    </row>
    <row r="297" spans="7:11" x14ac:dyDescent="0.2">
      <c r="K297" s="21"/>
    </row>
    <row r="298" spans="7:11" x14ac:dyDescent="0.2">
      <c r="K298" s="21"/>
    </row>
    <row r="299" spans="7:11" x14ac:dyDescent="0.2">
      <c r="K299" s="21"/>
    </row>
    <row r="300" spans="7:11" x14ac:dyDescent="0.2">
      <c r="I300" s="52"/>
      <c r="J300" s="52"/>
      <c r="K300" s="21"/>
    </row>
    <row r="301" spans="7:11" x14ac:dyDescent="0.2">
      <c r="K301" s="21"/>
    </row>
    <row r="305" spans="12:25" x14ac:dyDescent="0.2">
      <c r="L305" s="40"/>
      <c r="M305" s="40"/>
      <c r="N305" s="40"/>
      <c r="O305" s="40"/>
      <c r="P305" s="40"/>
      <c r="Q305" s="40"/>
      <c r="R305" s="40"/>
      <c r="S305" s="40"/>
      <c r="T305" s="40"/>
      <c r="U305" s="40"/>
      <c r="V305" s="40"/>
      <c r="W305" s="40"/>
      <c r="X305" s="40"/>
      <c r="Y305" s="40"/>
    </row>
    <row r="306" spans="12:25" x14ac:dyDescent="0.2">
      <c r="L306" s="40"/>
      <c r="M306" s="40"/>
      <c r="N306" s="40"/>
      <c r="O306" s="40"/>
      <c r="P306" s="40"/>
      <c r="Q306" s="40"/>
      <c r="R306" s="40"/>
      <c r="S306" s="40"/>
      <c r="T306" s="40"/>
      <c r="U306" s="40"/>
      <c r="V306" s="40"/>
      <c r="W306" s="40"/>
      <c r="X306" s="40"/>
      <c r="Y306" s="40"/>
    </row>
    <row r="307" spans="12:25" x14ac:dyDescent="0.2">
      <c r="L307" s="40"/>
      <c r="M307" s="40"/>
      <c r="N307" s="40"/>
      <c r="O307" s="40"/>
      <c r="P307" s="40"/>
      <c r="Q307" s="40"/>
      <c r="R307" s="40"/>
      <c r="S307" s="40"/>
      <c r="T307" s="40"/>
      <c r="U307" s="40"/>
      <c r="V307" s="40"/>
      <c r="W307" s="40"/>
      <c r="X307" s="40"/>
      <c r="Y307" s="40"/>
    </row>
    <row r="308" spans="12:25" x14ac:dyDescent="0.2">
      <c r="L308" s="40"/>
      <c r="M308" s="40"/>
      <c r="N308" s="40"/>
      <c r="O308" s="40"/>
      <c r="P308" s="40"/>
      <c r="Q308" s="40"/>
      <c r="R308" s="40"/>
      <c r="S308" s="40"/>
      <c r="T308" s="40"/>
      <c r="U308" s="40"/>
      <c r="V308" s="40"/>
      <c r="W308" s="40"/>
      <c r="X308" s="40"/>
      <c r="Y308" s="40"/>
    </row>
    <row r="309" spans="12:25" x14ac:dyDescent="0.2">
      <c r="L309" s="40"/>
      <c r="M309" s="40"/>
      <c r="N309" s="40"/>
      <c r="O309" s="40"/>
      <c r="P309" s="40"/>
      <c r="Q309" s="40"/>
      <c r="R309" s="40"/>
      <c r="S309" s="40"/>
      <c r="T309" s="40"/>
      <c r="U309" s="40"/>
      <c r="V309" s="40"/>
      <c r="W309" s="40"/>
      <c r="X309" s="40"/>
      <c r="Y309" s="40"/>
    </row>
    <row r="310" spans="12:25" x14ac:dyDescent="0.2">
      <c r="L310" s="40"/>
      <c r="M310" s="40"/>
      <c r="N310" s="40"/>
      <c r="O310" s="40"/>
      <c r="P310" s="40"/>
      <c r="Q310" s="40"/>
      <c r="R310" s="40"/>
      <c r="S310" s="40"/>
      <c r="T310" s="40"/>
      <c r="U310" s="40"/>
      <c r="V310" s="40"/>
      <c r="W310" s="40"/>
      <c r="X310" s="40"/>
      <c r="Y310" s="40"/>
    </row>
    <row r="311" spans="12:25" x14ac:dyDescent="0.2">
      <c r="L311" s="40"/>
      <c r="M311" s="40"/>
      <c r="N311" s="40"/>
      <c r="O311" s="40"/>
      <c r="P311" s="40"/>
      <c r="Q311" s="40"/>
      <c r="R311" s="40"/>
      <c r="S311" s="40"/>
      <c r="T311" s="40"/>
      <c r="U311" s="40"/>
      <c r="V311" s="40"/>
      <c r="W311" s="40"/>
      <c r="X311" s="40"/>
      <c r="Y311" s="40"/>
    </row>
    <row r="312" spans="12:25" x14ac:dyDescent="0.2">
      <c r="L312" s="40"/>
      <c r="M312" s="40"/>
      <c r="N312" s="40"/>
      <c r="O312" s="40"/>
      <c r="P312" s="40"/>
      <c r="Q312" s="40"/>
      <c r="R312" s="40"/>
      <c r="S312" s="40"/>
      <c r="T312" s="40"/>
      <c r="U312" s="40"/>
      <c r="V312" s="40"/>
      <c r="W312" s="40"/>
      <c r="X312" s="40"/>
      <c r="Y312" s="40"/>
    </row>
    <row r="313" spans="12:25" x14ac:dyDescent="0.2">
      <c r="L313" s="40"/>
      <c r="M313" s="40"/>
      <c r="N313" s="40"/>
      <c r="O313" s="40"/>
      <c r="P313" s="40"/>
      <c r="Q313" s="40"/>
      <c r="R313" s="40"/>
      <c r="S313" s="40"/>
      <c r="T313" s="40"/>
      <c r="U313" s="40"/>
      <c r="V313" s="40"/>
      <c r="W313" s="40"/>
      <c r="X313" s="40"/>
      <c r="Y313" s="40"/>
    </row>
    <row r="314" spans="12:25" x14ac:dyDescent="0.2">
      <c r="L314" s="40"/>
      <c r="M314" s="40"/>
      <c r="N314" s="40"/>
      <c r="O314" s="40"/>
      <c r="P314" s="40"/>
      <c r="Q314" s="78"/>
    </row>
    <row r="315" spans="12:25" x14ac:dyDescent="0.2">
      <c r="L315" s="40"/>
      <c r="M315" s="40"/>
      <c r="N315" s="40"/>
      <c r="O315" s="40"/>
      <c r="P315" s="40"/>
      <c r="Q315" s="78"/>
    </row>
    <row r="316" spans="12:25" x14ac:dyDescent="0.2">
      <c r="L316" s="40"/>
      <c r="M316" s="40"/>
      <c r="N316" s="40"/>
      <c r="O316" s="40"/>
      <c r="P316" s="40"/>
      <c r="Q316" s="78"/>
    </row>
    <row r="317" spans="12:25" x14ac:dyDescent="0.2">
      <c r="L317" s="40"/>
      <c r="M317" s="40"/>
      <c r="N317" s="40"/>
      <c r="O317" s="40"/>
      <c r="P317" s="40"/>
      <c r="Q317" s="78"/>
    </row>
    <row r="318" spans="12:25" x14ac:dyDescent="0.2">
      <c r="L318" s="40"/>
      <c r="M318" s="40"/>
      <c r="N318" s="40"/>
      <c r="O318" s="40"/>
      <c r="P318" s="40"/>
      <c r="Q318" s="78"/>
    </row>
    <row r="319" spans="12:25" x14ac:dyDescent="0.2">
      <c r="L319" s="40"/>
      <c r="M319" s="40"/>
      <c r="N319" s="40"/>
      <c r="O319" s="40"/>
      <c r="P319" s="40"/>
      <c r="Q319" s="78"/>
    </row>
    <row r="320" spans="12:25" x14ac:dyDescent="0.2">
      <c r="L320" s="40"/>
      <c r="M320" s="40"/>
      <c r="N320" s="40"/>
      <c r="O320" s="40"/>
      <c r="P320" s="40"/>
      <c r="Q320" s="78"/>
    </row>
    <row r="321" spans="6:19" x14ac:dyDescent="0.2">
      <c r="L321" s="40"/>
      <c r="M321" s="40"/>
      <c r="N321" s="40"/>
      <c r="O321" s="40"/>
      <c r="P321" s="40"/>
      <c r="Q321" s="78"/>
    </row>
    <row r="322" spans="6:19" x14ac:dyDescent="0.2">
      <c r="L322" s="40"/>
      <c r="M322" s="40"/>
      <c r="N322" s="40"/>
      <c r="O322" s="40"/>
      <c r="P322" s="40"/>
      <c r="Q322" s="78"/>
    </row>
    <row r="323" spans="6:19" x14ac:dyDescent="0.2">
      <c r="L323" s="40"/>
      <c r="M323" s="40"/>
      <c r="N323" s="40"/>
      <c r="O323" s="40"/>
      <c r="P323" s="40"/>
      <c r="Q323" s="78"/>
    </row>
    <row r="324" spans="6:19" x14ac:dyDescent="0.2">
      <c r="L324" s="40"/>
      <c r="M324" s="40"/>
      <c r="N324" s="40"/>
      <c r="O324" s="40"/>
      <c r="P324" s="40"/>
      <c r="Q324" s="78"/>
    </row>
    <row r="325" spans="6:19" x14ac:dyDescent="0.2">
      <c r="L325" s="40"/>
      <c r="M325" s="40"/>
      <c r="N325" s="40"/>
      <c r="O325" s="40"/>
      <c r="P325" s="40"/>
      <c r="Q325" s="78"/>
    </row>
    <row r="326" spans="6:19" x14ac:dyDescent="0.2">
      <c r="L326" s="40"/>
      <c r="M326" s="40"/>
      <c r="N326" s="40"/>
      <c r="O326" s="40"/>
      <c r="P326" s="40"/>
      <c r="Q326" s="78"/>
    </row>
    <row r="327" spans="6:19" x14ac:dyDescent="0.2">
      <c r="F327"/>
      <c r="G327"/>
      <c r="H327"/>
      <c r="K327" s="74"/>
    </row>
    <row r="328" spans="6:19" x14ac:dyDescent="0.2">
      <c r="F328"/>
      <c r="G328"/>
      <c r="H328"/>
      <c r="K328" s="74"/>
    </row>
    <row r="329" spans="6:19" x14ac:dyDescent="0.2">
      <c r="F329"/>
      <c r="G329"/>
      <c r="H329"/>
      <c r="K329" s="32"/>
      <c r="L329"/>
      <c r="M329" s="9"/>
      <c r="N329" s="9"/>
      <c r="O329" s="9"/>
      <c r="P329" s="9"/>
      <c r="Q329" s="9"/>
      <c r="R329" s="9"/>
      <c r="S329" s="9"/>
    </row>
    <row r="330" spans="6:19" x14ac:dyDescent="0.2">
      <c r="F330"/>
      <c r="G330"/>
      <c r="H330"/>
      <c r="K330" s="32"/>
      <c r="L330"/>
      <c r="M330" s="9"/>
      <c r="N330" s="9"/>
      <c r="O330" s="9"/>
      <c r="P330" s="9"/>
      <c r="Q330" s="9"/>
      <c r="R330" s="9"/>
      <c r="S330" s="9"/>
    </row>
    <row r="331" spans="6:19" x14ac:dyDescent="0.2">
      <c r="F331"/>
      <c r="G331"/>
      <c r="H331"/>
      <c r="K331" s="32"/>
      <c r="L331"/>
      <c r="M331" s="9"/>
      <c r="N331" s="9"/>
      <c r="O331" s="9"/>
      <c r="P331" s="9"/>
      <c r="Q331" s="9"/>
      <c r="R331" s="9"/>
      <c r="S331" s="9"/>
    </row>
    <row r="332" spans="6:19" x14ac:dyDescent="0.2">
      <c r="F332"/>
      <c r="G332"/>
      <c r="H332"/>
      <c r="K332" s="32"/>
      <c r="L332"/>
      <c r="M332" s="9"/>
      <c r="N332" s="9"/>
      <c r="O332" s="9"/>
      <c r="P332" s="9"/>
      <c r="Q332" s="9"/>
      <c r="R332" s="9"/>
      <c r="S332" s="9"/>
    </row>
    <row r="333" spans="6:19" x14ac:dyDescent="0.2">
      <c r="F333"/>
      <c r="G333"/>
      <c r="H333"/>
      <c r="K333" s="32"/>
      <c r="L333"/>
      <c r="M333" s="9"/>
      <c r="N333" s="9"/>
      <c r="O333" s="9"/>
      <c r="P333" s="9"/>
      <c r="Q333" s="9"/>
      <c r="R333" s="9"/>
      <c r="S333" s="9"/>
    </row>
    <row r="334" spans="6:19" x14ac:dyDescent="0.2">
      <c r="F334"/>
      <c r="G334"/>
      <c r="H334"/>
      <c r="K334" s="32"/>
      <c r="L334"/>
      <c r="M334" s="9"/>
      <c r="N334" s="9"/>
      <c r="O334" s="9"/>
      <c r="P334" s="9"/>
      <c r="Q334" s="9"/>
      <c r="R334" s="9"/>
      <c r="S334" s="9"/>
    </row>
    <row r="335" spans="6:19" x14ac:dyDescent="0.2">
      <c r="F335"/>
      <c r="G335"/>
      <c r="H335"/>
      <c r="K335" s="32"/>
      <c r="L335"/>
      <c r="M335" s="9"/>
      <c r="N335" s="9"/>
      <c r="O335" s="9"/>
      <c r="P335" s="9"/>
      <c r="Q335" s="9"/>
      <c r="R335" s="9"/>
      <c r="S335" s="9"/>
    </row>
    <row r="336" spans="6:19" x14ac:dyDescent="0.2">
      <c r="F336"/>
      <c r="G336"/>
      <c r="H336"/>
      <c r="K336" s="32"/>
      <c r="L336"/>
      <c r="M336" s="9"/>
      <c r="N336" s="9"/>
      <c r="O336" s="9"/>
      <c r="P336" s="9"/>
      <c r="Q336" s="9"/>
      <c r="R336" s="9"/>
      <c r="S336" s="9"/>
    </row>
    <row r="337" spans="6:19" x14ac:dyDescent="0.2">
      <c r="F337"/>
      <c r="G337"/>
      <c r="H337"/>
      <c r="K337" s="32"/>
      <c r="L337"/>
      <c r="M337" s="9"/>
      <c r="N337" s="9"/>
      <c r="O337" s="9"/>
      <c r="P337" s="9"/>
      <c r="Q337" s="9"/>
      <c r="R337" s="9"/>
      <c r="S337" s="9"/>
    </row>
    <row r="338" spans="6:19" x14ac:dyDescent="0.2">
      <c r="F338"/>
      <c r="G338"/>
      <c r="H338"/>
      <c r="K338" s="32"/>
      <c r="L338"/>
      <c r="M338" s="9"/>
      <c r="N338" s="9"/>
      <c r="O338" s="9"/>
      <c r="P338" s="9"/>
      <c r="Q338" s="9"/>
      <c r="R338" s="9"/>
      <c r="S338" s="9"/>
    </row>
    <row r="339" spans="6:19" x14ac:dyDescent="0.2">
      <c r="F339"/>
      <c r="G339"/>
      <c r="H339"/>
      <c r="K339" s="32"/>
      <c r="L339"/>
      <c r="M339" s="9"/>
      <c r="N339" s="9"/>
      <c r="O339" s="9"/>
      <c r="P339" s="9"/>
      <c r="Q339" s="9"/>
      <c r="R339" s="9"/>
      <c r="S339" s="9"/>
    </row>
    <row r="340" spans="6:19" x14ac:dyDescent="0.2">
      <c r="F340"/>
      <c r="G340"/>
      <c r="H340"/>
      <c r="K340" s="32"/>
      <c r="L340"/>
      <c r="M340" s="9"/>
      <c r="N340" s="9"/>
      <c r="O340" s="9"/>
      <c r="P340" s="9"/>
      <c r="Q340" s="9"/>
      <c r="R340" s="9"/>
      <c r="S340" s="9"/>
    </row>
    <row r="341" spans="6:19" x14ac:dyDescent="0.2">
      <c r="F341"/>
      <c r="G341"/>
      <c r="H341"/>
      <c r="K341" s="32"/>
      <c r="L341"/>
      <c r="M341" s="9"/>
      <c r="N341" s="9"/>
      <c r="O341" s="9"/>
      <c r="P341" s="9"/>
      <c r="Q341" s="9"/>
      <c r="R341" s="9"/>
      <c r="S341" s="9"/>
    </row>
    <row r="342" spans="6:19" x14ac:dyDescent="0.2">
      <c r="F342"/>
      <c r="G342"/>
      <c r="H342"/>
      <c r="K342" s="32"/>
      <c r="L342"/>
      <c r="M342" s="9"/>
      <c r="N342" s="9"/>
      <c r="O342" s="9"/>
      <c r="P342" s="9"/>
      <c r="Q342" s="9"/>
      <c r="R342" s="9"/>
      <c r="S342" s="9"/>
    </row>
    <row r="343" spans="6:19" x14ac:dyDescent="0.2">
      <c r="F343"/>
      <c r="G343"/>
      <c r="H343"/>
      <c r="K343" s="32"/>
      <c r="L343"/>
      <c r="M343" s="9"/>
      <c r="N343" s="9"/>
      <c r="O343" s="9"/>
      <c r="P343" s="9"/>
      <c r="Q343" s="9"/>
      <c r="R343" s="9"/>
      <c r="S343" s="9"/>
    </row>
    <row r="344" spans="6:19" x14ac:dyDescent="0.2">
      <c r="F344"/>
      <c r="G344"/>
      <c r="H344"/>
      <c r="K344" s="32"/>
      <c r="L344"/>
      <c r="M344" s="9"/>
      <c r="N344" s="9"/>
      <c r="O344" s="9"/>
      <c r="P344" s="9"/>
      <c r="Q344" s="9"/>
      <c r="R344" s="9"/>
      <c r="S344" s="9"/>
    </row>
    <row r="345" spans="6:19" x14ac:dyDescent="0.2">
      <c r="F345"/>
      <c r="G345"/>
      <c r="H345"/>
      <c r="K345" s="32"/>
      <c r="L345"/>
      <c r="M345" s="9"/>
      <c r="N345" s="9"/>
      <c r="O345" s="9"/>
      <c r="P345" s="9"/>
      <c r="Q345" s="9"/>
      <c r="R345" s="9"/>
      <c r="S345" s="9"/>
    </row>
    <row r="346" spans="6:19" x14ac:dyDescent="0.2">
      <c r="F346"/>
      <c r="G346"/>
      <c r="H346"/>
      <c r="K346" s="32"/>
      <c r="L346"/>
      <c r="M346" s="9"/>
      <c r="N346" s="9"/>
      <c r="O346" s="9"/>
      <c r="P346" s="9"/>
      <c r="Q346" s="9"/>
      <c r="R346" s="9"/>
      <c r="S346" s="9"/>
    </row>
    <row r="347" spans="6:19" x14ac:dyDescent="0.2">
      <c r="F347"/>
      <c r="G347"/>
      <c r="H347"/>
      <c r="K347" s="32"/>
      <c r="L347"/>
      <c r="M347" s="9"/>
      <c r="N347" s="9"/>
      <c r="O347" s="9"/>
      <c r="P347" s="9"/>
      <c r="Q347" s="9"/>
      <c r="R347" s="9"/>
      <c r="S347" s="9"/>
    </row>
    <row r="348" spans="6:19" x14ac:dyDescent="0.2">
      <c r="F348"/>
      <c r="G348"/>
      <c r="H348"/>
      <c r="K348" s="32"/>
      <c r="L348"/>
      <c r="M348" s="9"/>
      <c r="N348" s="9"/>
      <c r="O348" s="9"/>
      <c r="P348" s="9"/>
      <c r="Q348" s="9"/>
      <c r="R348" s="9"/>
      <c r="S348" s="9"/>
    </row>
    <row r="349" spans="6:19" x14ac:dyDescent="0.2">
      <c r="F349"/>
      <c r="G349"/>
      <c r="H349"/>
      <c r="K349" s="32"/>
      <c r="L349"/>
      <c r="M349" s="9"/>
      <c r="N349" s="9"/>
      <c r="O349" s="9"/>
      <c r="P349" s="9"/>
      <c r="Q349" s="9"/>
      <c r="R349" s="9"/>
      <c r="S349" s="9"/>
    </row>
    <row r="350" spans="6:19" x14ac:dyDescent="0.2">
      <c r="F350"/>
      <c r="G350"/>
      <c r="H350"/>
      <c r="K350" s="32"/>
      <c r="L350"/>
      <c r="M350" s="9"/>
      <c r="N350" s="9"/>
      <c r="O350" s="9"/>
      <c r="P350" s="9"/>
      <c r="Q350" s="9"/>
      <c r="R350" s="9"/>
      <c r="S350" s="9"/>
    </row>
    <row r="351" spans="6:19" x14ac:dyDescent="0.2">
      <c r="F351"/>
      <c r="G351"/>
      <c r="H351"/>
      <c r="K351" s="32"/>
      <c r="L351"/>
      <c r="M351" s="9"/>
      <c r="N351" s="9"/>
      <c r="O351" s="9"/>
      <c r="P351" s="9"/>
      <c r="Q351" s="9"/>
      <c r="R351" s="9"/>
      <c r="S351" s="9"/>
    </row>
    <row r="352" spans="6:19" x14ac:dyDescent="0.2">
      <c r="K352" s="32"/>
      <c r="L352"/>
      <c r="M352" s="9"/>
      <c r="N352" s="9"/>
      <c r="O352" s="9"/>
      <c r="P352" s="9"/>
      <c r="Q352" s="9"/>
      <c r="R352" s="9"/>
      <c r="S352" s="9"/>
    </row>
    <row r="353" spans="11:19" x14ac:dyDescent="0.2">
      <c r="K353" s="32"/>
      <c r="L353"/>
      <c r="M353" s="9"/>
      <c r="N353" s="9"/>
      <c r="O353" s="9"/>
      <c r="P353" s="9"/>
      <c r="Q353" s="9"/>
      <c r="R353" s="9"/>
      <c r="S353" s="9"/>
    </row>
    <row r="411" spans="11:11" x14ac:dyDescent="0.2">
      <c r="K411" s="75"/>
    </row>
  </sheetData>
  <mergeCells count="1">
    <mergeCell ref="B3:E3"/>
  </mergeCells>
  <phoneticPr fontId="14" type="noConversion"/>
  <hyperlinks>
    <hyperlink ref="J220" r:id="rId1" display="https://view.officeapps.live.com/op/view.aspx?src=https%3A%2F%2Femp.lbl.gov%2Fsites%2Fdefault%2Ffiles%2F2022_utility-scale_solar_data_update.xlsm&amp;wdOrigin=BROWSELINK" xr:uid="{18EFDA8E-B30F-4BDB-AF84-C70F466A3A97}"/>
    <hyperlink ref="J17" r:id="rId2" display="https://www.irena.org/publications/2022/Jul/Renewable-Power-Generation-Costs-in-2021" xr:uid="{596497B0-C80B-471B-8A54-2CEC237B000D}"/>
    <hyperlink ref="J8" r:id="rId3" display="https://www.nrel.gov/docs/fy22osti/83586.pdf" xr:uid="{E1C67392-6E48-4D3E-B85D-5342168E9422}"/>
    <hyperlink ref="J11" r:id="rId4" display="https://www.vdma.org/international-technology-roadmap-photovoltaic" xr:uid="{81DEA529-0C08-442D-B70F-E4582B6D3BE5}"/>
    <hyperlink ref="J14" r:id="rId5" display="https://www.nrel.gov/solar/market-research-analysis/solar-manufacturing-cost.html" xr:uid="{71DC6208-CA23-45FA-A466-EE55048C44E3}"/>
    <hyperlink ref="J45" r:id="rId6" display="https://www.vdma.org/international-technology-roadmap-photovoltaic" xr:uid="{0632B552-A6DA-466D-9746-C77688AA8940}"/>
    <hyperlink ref="J42" r:id="rId7" display="https://www.nrel.gov/docs/fy22osti/83586.pdf" xr:uid="{8CACF228-35D5-4BF2-A312-AAAF4A043B27}"/>
    <hyperlink ref="J48" r:id="rId8" display="https://www.irena.org/publications/2022/Jul/Renewable-Power-Generation-Costs-in-2021" xr:uid="{E7F9B537-22CA-412D-843D-BE935061C327}"/>
    <hyperlink ref="J223" r:id="rId9" display="https://www.vdma.org/international-technology-roadmap-photovoltaic" xr:uid="{80F8A407-5CD8-4F38-BDE9-711444ADC54E}"/>
    <hyperlink ref="J86" r:id="rId10" display="https://www.vdma.org/international-technology-roadmap-photovoltaic" xr:uid="{49D2AEA1-F988-4E73-8E3A-1DFC4164A541}"/>
    <hyperlink ref="J79" r:id="rId11" display="https://www.nrel.gov/docs/fy22osti/83586.pdf" xr:uid="{0FB266AA-6280-49C5-A2E3-B6698AB37367}"/>
    <hyperlink ref="J72" r:id="rId12" display="https://www.irena.org/publications/2022/Jul/Renewable-Power-Generation-Costs-in-2021" xr:uid="{73B62F8C-C59A-47E1-897F-4ABC420BFA68}"/>
    <hyperlink ref="J117" r:id="rId13" display="https://www.irena.org/publications/2022/Jul/Renewable-Power-Generation-Costs-in-2021" xr:uid="{145F7950-029D-4105-B7D7-A2DEB9C8CD99}"/>
    <hyperlink ref="J121" r:id="rId14" display="https://www.nrel.gov/docs/fy22osti/83586.pdf" xr:uid="{1F1F9445-10A8-4075-9C82-033D0EF2737B}"/>
    <hyperlink ref="J169" r:id="rId15" display="https://atb.nrel.gov/electricity/2022/utility-scale_pv" xr:uid="{ABBA311A-8F54-49DE-A08D-69C5A6B3B652}"/>
    <hyperlink ref="J174" r:id="rId16" display="https://eta-publications.lbl.gov/sites/default/files/solar_life_and_opex_report.pdf" xr:uid="{42B2C061-60B5-4622-9043-85DB62A8302F}"/>
    <hyperlink ref="J136" r:id="rId17" display="https://www.nrel.gov/docs/fy22osti/83586.pdf" xr:uid="{FBA77882-89E8-4329-8332-D2636E0FD448}"/>
    <hyperlink ref="J147" r:id="rId18" display="https://www.jobbank.gc.ca/marketreport/wages-occupation/26866/ca" xr:uid="{19855335-55F8-4528-8A21-6C261EC68A74}"/>
    <hyperlink ref="O199" r:id="rId19" display="https://www.centralhuron.ca/en/living-here/resources/2022-Tax-Rates.pdf" xr:uid="{BAFC06DE-25B9-4E24-8A73-BD07AD4D53AB}"/>
    <hyperlink ref="J151" r:id="rId20" display="https://www150.statcan.gc.ca/t1/tbl1/en/tv.action?pid=1410034001&amp;pickMembers%5B0%5D=1.10&amp;pickMembers%5B1%5D=2.2&amp;pickMembers%5B2%5D=3.1&amp;pickMembers%5B3%5D=5.1&amp;pickMembers%5B4%5D=6.1&amp;cubeTimeFrame.startYear=2017&amp;cubeTimeFrame.endYear=2021&amp;referencePeriods=20170101%2C20210101" xr:uid="{E6CAAF52-6C9F-4AFA-8E34-5B46F313C98C}"/>
  </hyperlinks>
  <pageMargins left="0.7" right="0.7" top="0.75" bottom="0.75" header="0.3" footer="0.3"/>
  <pageSetup orientation="portrait" r:id="rId21"/>
  <drawing r:id="rId2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87D8A-BB32-4849-80B1-40296F2AE06C}">
  <dimension ref="B1:AJ303"/>
  <sheetViews>
    <sheetView topLeftCell="A3" workbookViewId="0">
      <selection activeCell="R26" sqref="R26"/>
    </sheetView>
  </sheetViews>
  <sheetFormatPr baseColWidth="10" defaultColWidth="8.83203125" defaultRowHeight="16" outlineLevelRow="1" outlineLevelCol="1" x14ac:dyDescent="0.2"/>
  <cols>
    <col min="1" max="1" width="2.6640625" customWidth="1"/>
    <col min="2" max="2" width="2.6640625" style="3" customWidth="1"/>
    <col min="3" max="3" width="2.6640625" style="4" customWidth="1"/>
    <col min="4" max="4" width="2.6640625" style="2" customWidth="1"/>
    <col min="5" max="5" width="20.6640625" customWidth="1"/>
    <col min="6" max="9" width="2.6640625" style="32" customWidth="1"/>
    <col min="10" max="10" width="2.6640625" style="39" customWidth="1"/>
    <col min="11" max="11" width="40.6640625" style="39" customWidth="1"/>
    <col min="12" max="12" width="15.6640625" style="33" customWidth="1" outlineLevel="1"/>
    <col min="13" max="13" width="16.6640625" style="33" customWidth="1" outlineLevel="1"/>
    <col min="14" max="17" width="10.6640625" style="33" customWidth="1" outlineLevel="1"/>
    <col min="18" max="18" width="12.33203125" style="33" bestFit="1" customWidth="1"/>
    <col min="19" max="31" width="10.6640625" style="33" customWidth="1"/>
    <col min="32" max="34" width="2.6640625" style="33" customWidth="1"/>
    <col min="35" max="35" width="9.33203125" style="33" bestFit="1" customWidth="1"/>
    <col min="36" max="36" width="9.83203125" style="33" bestFit="1" customWidth="1"/>
  </cols>
  <sheetData>
    <row r="1" spans="2:31" ht="21" x14ac:dyDescent="0.25">
      <c r="B1" s="5" t="s">
        <v>279</v>
      </c>
    </row>
    <row r="2" spans="2:31" ht="19" x14ac:dyDescent="0.25">
      <c r="B2" s="1" t="str">
        <f>_Cover!B14</f>
        <v>Renewable Cost Forecast</v>
      </c>
    </row>
    <row r="3" spans="2:31" ht="15" x14ac:dyDescent="0.2">
      <c r="B3" s="331" t="str">
        <f ca="1">HYPERLINK("#"&amp;CELL("address", _Contents!B3 ), "Go to Table of Contents")</f>
        <v>Go to Table of Contents</v>
      </c>
      <c r="C3" s="331"/>
      <c r="D3" s="331"/>
      <c r="E3" s="331"/>
    </row>
    <row r="4" spans="2:31" x14ac:dyDescent="0.2">
      <c r="L4" s="48">
        <v>2016</v>
      </c>
      <c r="M4" s="48">
        <v>2017</v>
      </c>
      <c r="N4" s="48">
        <v>2018</v>
      </c>
      <c r="O4" s="48">
        <v>2019</v>
      </c>
      <c r="P4" s="48">
        <v>2020</v>
      </c>
      <c r="Q4" s="48">
        <v>2021</v>
      </c>
      <c r="R4" s="180">
        <v>2022</v>
      </c>
      <c r="S4" s="180">
        <v>2023</v>
      </c>
      <c r="T4" s="180">
        <v>2024</v>
      </c>
      <c r="U4" s="180">
        <v>2025</v>
      </c>
      <c r="V4" s="180">
        <v>2026</v>
      </c>
      <c r="W4" s="180">
        <v>2027</v>
      </c>
      <c r="X4" s="180">
        <v>2028</v>
      </c>
      <c r="Y4" s="180">
        <v>2029</v>
      </c>
      <c r="Z4" s="180">
        <v>2030</v>
      </c>
      <c r="AA4" s="180">
        <v>2031</v>
      </c>
      <c r="AB4" s="180">
        <v>2032</v>
      </c>
      <c r="AC4" s="180">
        <v>2033</v>
      </c>
      <c r="AD4" s="180">
        <v>2034</v>
      </c>
      <c r="AE4" s="180">
        <v>2035</v>
      </c>
    </row>
    <row r="6" spans="2:31" x14ac:dyDescent="0.2">
      <c r="H6" s="72" t="s">
        <v>539</v>
      </c>
    </row>
    <row r="7" spans="2:31" outlineLevel="1" x14ac:dyDescent="0.2">
      <c r="I7" s="80" t="s">
        <v>540</v>
      </c>
      <c r="J7" s="120"/>
      <c r="K7" s="120"/>
      <c r="L7" s="119"/>
      <c r="M7" s="119"/>
      <c r="N7" s="119"/>
      <c r="O7" s="119"/>
      <c r="P7" s="119"/>
      <c r="Q7" s="119"/>
      <c r="R7" s="119"/>
      <c r="S7" s="119"/>
      <c r="T7" s="119"/>
      <c r="U7" s="119"/>
      <c r="V7" s="119"/>
      <c r="W7" s="119"/>
      <c r="X7" s="119"/>
      <c r="Y7" s="119"/>
      <c r="Z7" s="119"/>
      <c r="AA7" s="119"/>
      <c r="AB7" s="119"/>
      <c r="AC7" s="119"/>
      <c r="AD7" s="119"/>
      <c r="AE7" s="119"/>
    </row>
    <row r="8" spans="2:31" outlineLevel="1" x14ac:dyDescent="0.2">
      <c r="I8" s="81"/>
      <c r="J8" s="84" t="s">
        <v>541</v>
      </c>
      <c r="K8" s="120"/>
      <c r="L8" s="119"/>
      <c r="M8" s="119"/>
      <c r="N8" s="119"/>
      <c r="O8" s="119"/>
      <c r="P8" s="119"/>
      <c r="Q8" s="119"/>
      <c r="R8" s="119"/>
      <c r="S8" s="119"/>
      <c r="T8" s="119"/>
      <c r="U8" s="119"/>
      <c r="V8" s="119"/>
      <c r="W8" s="119"/>
      <c r="X8" s="119"/>
      <c r="Y8" s="119"/>
      <c r="Z8" s="119"/>
      <c r="AA8" s="119"/>
      <c r="AB8" s="119"/>
      <c r="AC8" s="119"/>
      <c r="AD8" s="119"/>
      <c r="AE8" s="119"/>
    </row>
    <row r="9" spans="2:31" outlineLevel="1" x14ac:dyDescent="0.2">
      <c r="I9" s="81"/>
      <c r="J9" s="120"/>
      <c r="K9" s="120" t="s">
        <v>542</v>
      </c>
      <c r="L9" s="119"/>
      <c r="M9" s="119">
        <v>65</v>
      </c>
      <c r="N9" s="119">
        <v>75</v>
      </c>
      <c r="O9" s="119">
        <v>95</v>
      </c>
      <c r="P9" s="119">
        <v>115</v>
      </c>
      <c r="Q9" s="119"/>
      <c r="R9" s="119"/>
      <c r="S9" s="119"/>
      <c r="T9" s="119"/>
      <c r="U9" s="119"/>
      <c r="V9" s="119"/>
      <c r="W9" s="119"/>
      <c r="X9" s="119"/>
      <c r="Y9" s="119"/>
      <c r="Z9" s="119"/>
      <c r="AA9" s="119"/>
      <c r="AB9" s="119"/>
      <c r="AC9" s="119"/>
      <c r="AD9" s="119"/>
      <c r="AE9" s="119"/>
    </row>
    <row r="10" spans="2:31" outlineLevel="1" x14ac:dyDescent="0.2">
      <c r="I10" s="81"/>
      <c r="J10" s="120"/>
      <c r="K10" s="120" t="s">
        <v>543</v>
      </c>
      <c r="L10" s="119"/>
      <c r="M10" s="182">
        <v>194788</v>
      </c>
      <c r="N10" s="182">
        <v>264531</v>
      </c>
      <c r="O10" s="182">
        <v>439638</v>
      </c>
      <c r="P10" s="182">
        <v>664059</v>
      </c>
      <c r="Q10" s="119"/>
      <c r="R10" s="119"/>
      <c r="S10" s="119"/>
      <c r="T10" s="119"/>
      <c r="U10" s="119"/>
      <c r="V10" s="119"/>
      <c r="W10" s="119"/>
      <c r="X10" s="119"/>
      <c r="Y10" s="119"/>
      <c r="Z10" s="119"/>
      <c r="AA10" s="119"/>
      <c r="AB10" s="119"/>
      <c r="AC10" s="119"/>
      <c r="AD10" s="119"/>
      <c r="AE10" s="119"/>
    </row>
    <row r="11" spans="2:31" outlineLevel="1" x14ac:dyDescent="0.2">
      <c r="I11" s="81"/>
      <c r="J11" s="120"/>
      <c r="K11" s="120" t="s">
        <v>544</v>
      </c>
      <c r="L11" s="119"/>
      <c r="M11" s="182"/>
      <c r="N11" s="182">
        <v>294783</v>
      </c>
      <c r="O11" s="182">
        <v>494394</v>
      </c>
      <c r="P11" s="182">
        <v>760828</v>
      </c>
      <c r="Q11" s="119"/>
      <c r="R11" s="119"/>
      <c r="S11" s="119"/>
      <c r="T11" s="119"/>
      <c r="U11" s="119"/>
      <c r="V11" s="119"/>
      <c r="W11" s="119"/>
      <c r="X11" s="119"/>
      <c r="Y11" s="119"/>
      <c r="Z11" s="119"/>
      <c r="AA11" s="119"/>
      <c r="AB11" s="119"/>
      <c r="AC11" s="119"/>
      <c r="AD11" s="119"/>
      <c r="AE11" s="119"/>
    </row>
    <row r="12" spans="2:31" outlineLevel="1" x14ac:dyDescent="0.2">
      <c r="I12" s="81"/>
      <c r="J12" s="120"/>
      <c r="K12" s="120" t="s">
        <v>249</v>
      </c>
      <c r="L12" s="119"/>
      <c r="M12" s="119">
        <f>67*2</f>
        <v>134</v>
      </c>
      <c r="N12" s="119">
        <f>77*2</f>
        <v>154</v>
      </c>
      <c r="O12" s="119">
        <f>97*2</f>
        <v>194</v>
      </c>
      <c r="P12" s="119">
        <f>117*2</f>
        <v>234</v>
      </c>
      <c r="Q12" s="119"/>
      <c r="R12" s="119"/>
      <c r="S12" s="119"/>
      <c r="T12" s="119"/>
      <c r="U12" s="119"/>
      <c r="V12" s="119"/>
      <c r="W12" s="119"/>
      <c r="X12" s="119"/>
      <c r="Y12" s="119"/>
      <c r="Z12" s="119"/>
      <c r="AA12" s="119"/>
      <c r="AB12" s="119"/>
      <c r="AC12" s="119"/>
      <c r="AD12" s="119"/>
      <c r="AE12" s="119"/>
    </row>
    <row r="13" spans="2:31" outlineLevel="1" x14ac:dyDescent="0.2">
      <c r="I13" s="81"/>
      <c r="J13" s="120"/>
      <c r="K13" s="120" t="s">
        <v>545</v>
      </c>
      <c r="L13" s="119"/>
      <c r="M13" s="183">
        <f>M10*3/1000000</f>
        <v>0.58436399999999999</v>
      </c>
      <c r="N13" s="183">
        <f t="shared" ref="N13:P14" si="0">N10*3/1000000</f>
        <v>0.79359299999999999</v>
      </c>
      <c r="O13" s="183">
        <f t="shared" si="0"/>
        <v>1.3189139999999999</v>
      </c>
      <c r="P13" s="183">
        <f t="shared" si="0"/>
        <v>1.9921770000000001</v>
      </c>
      <c r="Q13" s="119"/>
      <c r="R13" s="119"/>
      <c r="S13" s="119"/>
      <c r="T13" s="119"/>
      <c r="U13" s="119"/>
      <c r="V13" s="119"/>
      <c r="W13" s="119"/>
      <c r="X13" s="119"/>
      <c r="Y13" s="119"/>
      <c r="Z13" s="119"/>
      <c r="AA13" s="119"/>
      <c r="AB13" s="119"/>
      <c r="AC13" s="119"/>
      <c r="AD13" s="119"/>
      <c r="AE13" s="119"/>
    </row>
    <row r="14" spans="2:31" outlineLevel="1" x14ac:dyDescent="0.2">
      <c r="I14" s="81"/>
      <c r="J14" s="120"/>
      <c r="K14" s="120" t="s">
        <v>546</v>
      </c>
      <c r="L14" s="119"/>
      <c r="M14" s="183">
        <f>M11*3/1000000</f>
        <v>0</v>
      </c>
      <c r="N14" s="183">
        <f t="shared" si="0"/>
        <v>0.88434900000000005</v>
      </c>
      <c r="O14" s="183">
        <f t="shared" si="0"/>
        <v>1.483182</v>
      </c>
      <c r="P14" s="183">
        <f t="shared" si="0"/>
        <v>2.2824840000000002</v>
      </c>
      <c r="Q14" s="119"/>
      <c r="R14" s="119"/>
      <c r="S14" s="119"/>
      <c r="T14" s="119"/>
      <c r="U14" s="119"/>
      <c r="V14" s="119"/>
      <c r="W14" s="119"/>
      <c r="X14" s="119"/>
      <c r="Y14" s="119"/>
      <c r="Z14" s="119"/>
      <c r="AA14" s="119"/>
      <c r="AB14" s="119"/>
      <c r="AC14" s="119"/>
      <c r="AD14" s="119"/>
      <c r="AE14" s="119"/>
    </row>
    <row r="15" spans="2:31" outlineLevel="1" x14ac:dyDescent="0.2">
      <c r="I15" s="80" t="s">
        <v>547</v>
      </c>
      <c r="J15" s="120"/>
      <c r="K15" s="120"/>
      <c r="L15" s="119"/>
      <c r="M15" s="183"/>
      <c r="N15" s="183"/>
      <c r="O15" s="183"/>
      <c r="P15" s="183"/>
      <c r="Q15" s="119"/>
      <c r="R15" s="119"/>
      <c r="S15" s="119"/>
      <c r="T15" s="119"/>
      <c r="U15" s="119"/>
      <c r="V15" s="119"/>
      <c r="W15" s="119"/>
      <c r="X15" s="119"/>
      <c r="Y15" s="119"/>
      <c r="Z15" s="119"/>
      <c r="AA15" s="119"/>
      <c r="AB15" s="119"/>
      <c r="AC15" s="119"/>
      <c r="AD15" s="119"/>
      <c r="AE15" s="119"/>
    </row>
    <row r="16" spans="2:31" outlineLevel="1" x14ac:dyDescent="0.2">
      <c r="I16" s="81"/>
      <c r="J16" s="84" t="s">
        <v>548</v>
      </c>
      <c r="K16" s="120"/>
      <c r="L16" s="119"/>
      <c r="M16" s="183"/>
      <c r="N16" s="183"/>
      <c r="O16" s="183"/>
      <c r="P16" s="183"/>
      <c r="Q16" s="119"/>
      <c r="R16" s="119"/>
      <c r="S16" s="119"/>
      <c r="T16" s="119"/>
      <c r="U16" s="119"/>
      <c r="V16" s="119"/>
      <c r="W16" s="119"/>
      <c r="X16" s="119"/>
      <c r="Y16" s="119"/>
      <c r="Z16" s="119"/>
      <c r="AA16" s="119"/>
      <c r="AB16" s="119"/>
      <c r="AC16" s="119"/>
      <c r="AD16" s="119"/>
      <c r="AE16" s="119"/>
    </row>
    <row r="17" spans="8:31" outlineLevel="1" x14ac:dyDescent="0.2">
      <c r="I17" s="81"/>
      <c r="J17" s="120"/>
      <c r="K17" s="120" t="s">
        <v>549</v>
      </c>
      <c r="L17" s="183">
        <v>62</v>
      </c>
      <c r="M17" s="183"/>
      <c r="N17" s="183"/>
      <c r="O17" s="183"/>
      <c r="P17" s="183"/>
      <c r="Q17" s="119"/>
      <c r="R17" s="119"/>
      <c r="S17" s="119"/>
      <c r="T17" s="119"/>
      <c r="U17" s="119"/>
      <c r="V17" s="119"/>
      <c r="W17" s="119"/>
      <c r="X17" s="119"/>
      <c r="Y17" s="119"/>
      <c r="Z17" s="119"/>
      <c r="AA17" s="119"/>
      <c r="AB17" s="119"/>
      <c r="AC17" s="119"/>
      <c r="AD17" s="119"/>
      <c r="AE17" s="119"/>
    </row>
    <row r="18" spans="8:31" outlineLevel="1" x14ac:dyDescent="0.2">
      <c r="I18" s="81"/>
      <c r="J18" s="120"/>
      <c r="K18" s="120" t="s">
        <v>550</v>
      </c>
      <c r="L18" s="183">
        <v>47</v>
      </c>
      <c r="M18" s="183"/>
      <c r="N18" s="183"/>
      <c r="O18" s="183"/>
      <c r="P18" s="183"/>
      <c r="Q18" s="119"/>
      <c r="R18" s="119"/>
      <c r="S18" s="119"/>
      <c r="T18" s="119"/>
      <c r="U18" s="119"/>
      <c r="V18" s="119"/>
      <c r="W18" s="119"/>
      <c r="X18" s="119"/>
      <c r="Y18" s="119"/>
      <c r="Z18" s="119"/>
      <c r="AA18" s="119"/>
      <c r="AB18" s="119"/>
      <c r="AC18" s="119"/>
      <c r="AD18" s="119"/>
      <c r="AE18" s="119"/>
    </row>
    <row r="19" spans="8:31" outlineLevel="1" x14ac:dyDescent="0.2">
      <c r="I19" s="81"/>
      <c r="J19" s="120"/>
      <c r="K19" s="120" t="s">
        <v>551</v>
      </c>
      <c r="L19" s="183">
        <f>INDEX(US.CPI,MATCH(2022,CPI.years,0))/INDEX(US.CPI,MATCH(2020,CPI.years,0))*L17</f>
        <v>65.319986951316764</v>
      </c>
      <c r="M19" s="183"/>
      <c r="N19" s="183"/>
      <c r="O19" s="183"/>
      <c r="P19" s="183"/>
      <c r="Q19" s="119"/>
      <c r="R19" s="119"/>
      <c r="S19" s="119"/>
      <c r="T19" s="119"/>
      <c r="U19" s="119"/>
      <c r="V19" s="119"/>
      <c r="W19" s="119"/>
      <c r="X19" s="119"/>
      <c r="Y19" s="119"/>
      <c r="Z19" s="119"/>
      <c r="AA19" s="119"/>
      <c r="AB19" s="119"/>
      <c r="AC19" s="119"/>
      <c r="AD19" s="119"/>
      <c r="AE19" s="119"/>
    </row>
    <row r="20" spans="8:31" outlineLevel="1" x14ac:dyDescent="0.2">
      <c r="I20" s="81"/>
      <c r="J20" s="120"/>
      <c r="K20" s="120" t="s">
        <v>552</v>
      </c>
      <c r="L20" s="183">
        <f>INDEX(US.CPI,MATCH(2022,CPI.years,0))/INDEX(US.CPI,MATCH(2020,CPI.years,0))*L18</f>
        <v>49.516764301804649</v>
      </c>
      <c r="M20" s="183"/>
      <c r="N20" s="183"/>
      <c r="O20" s="183"/>
      <c r="P20" s="183"/>
      <c r="Q20" s="119"/>
      <c r="R20" s="119"/>
      <c r="S20" s="119"/>
      <c r="T20" s="119"/>
      <c r="U20" s="119"/>
      <c r="V20" s="119"/>
      <c r="W20" s="119"/>
      <c r="X20" s="119"/>
      <c r="Y20" s="119"/>
      <c r="Z20" s="119"/>
      <c r="AA20" s="119"/>
      <c r="AB20" s="119"/>
      <c r="AC20" s="119"/>
      <c r="AD20" s="119"/>
      <c r="AE20" s="119"/>
    </row>
    <row r="21" spans="8:31" outlineLevel="1" x14ac:dyDescent="0.2">
      <c r="I21" s="81"/>
      <c r="J21" s="120"/>
      <c r="K21" s="120" t="s">
        <v>553</v>
      </c>
      <c r="L21" s="119">
        <v>2.8</v>
      </c>
      <c r="M21" s="183"/>
      <c r="N21" s="183"/>
      <c r="O21" s="183"/>
      <c r="P21" s="183"/>
      <c r="Q21" s="119"/>
      <c r="R21" s="119"/>
      <c r="S21" s="119"/>
      <c r="T21" s="119"/>
      <c r="U21" s="119"/>
      <c r="V21" s="119"/>
      <c r="W21" s="119"/>
      <c r="X21" s="119"/>
      <c r="Y21" s="119"/>
      <c r="Z21" s="119"/>
      <c r="AA21" s="119"/>
      <c r="AB21" s="119"/>
      <c r="AC21" s="119"/>
      <c r="AD21" s="119"/>
      <c r="AE21" s="119"/>
    </row>
    <row r="22" spans="8:31" outlineLevel="1" x14ac:dyDescent="0.2">
      <c r="I22" s="81"/>
      <c r="J22" s="120"/>
      <c r="K22" s="120" t="s">
        <v>554</v>
      </c>
      <c r="L22" s="183">
        <f>L19*$L$21*1000*USD_to_CAD/1000000</f>
        <v>0.237764752502793</v>
      </c>
      <c r="M22" s="183"/>
      <c r="N22" s="183"/>
      <c r="O22" s="183"/>
      <c r="P22" s="183"/>
      <c r="Q22" s="119"/>
      <c r="R22" s="119"/>
      <c r="S22" s="119"/>
      <c r="T22" s="119"/>
      <c r="U22" s="119"/>
      <c r="V22" s="119"/>
      <c r="W22" s="119"/>
      <c r="X22" s="119"/>
      <c r="Y22" s="119"/>
      <c r="Z22" s="119"/>
      <c r="AA22" s="119"/>
      <c r="AB22" s="119"/>
      <c r="AC22" s="119"/>
      <c r="AD22" s="119"/>
      <c r="AE22" s="119"/>
    </row>
    <row r="23" spans="8:31" outlineLevel="1" x14ac:dyDescent="0.2">
      <c r="I23" s="81"/>
      <c r="J23" s="120"/>
      <c r="K23" s="120" t="s">
        <v>555</v>
      </c>
      <c r="L23" s="183">
        <f>L20*$L$21*1000*USD_to_CAD/1000000</f>
        <v>0.18024102205856893</v>
      </c>
      <c r="M23" s="183"/>
      <c r="N23" s="183"/>
      <c r="O23" s="183"/>
      <c r="P23" s="183"/>
      <c r="Q23" s="119"/>
      <c r="R23" s="119"/>
      <c r="S23" s="119"/>
      <c r="T23" s="119"/>
      <c r="U23" s="119"/>
      <c r="V23" s="119"/>
      <c r="W23" s="119"/>
      <c r="X23" s="119"/>
      <c r="Y23" s="119"/>
      <c r="Z23" s="119"/>
      <c r="AA23" s="119"/>
      <c r="AB23" s="119"/>
      <c r="AC23" s="119"/>
      <c r="AD23" s="119"/>
      <c r="AE23" s="119"/>
    </row>
    <row r="24" spans="8:31" outlineLevel="1" x14ac:dyDescent="0.2">
      <c r="I24" s="138"/>
      <c r="J24" s="138"/>
      <c r="K24" s="138"/>
      <c r="L24" s="138"/>
      <c r="M24" s="138"/>
      <c r="N24" s="138"/>
      <c r="O24" s="138"/>
      <c r="P24" s="138"/>
      <c r="Q24" s="138"/>
      <c r="R24" s="138"/>
      <c r="S24" s="138"/>
      <c r="T24" s="138"/>
      <c r="U24" s="138"/>
      <c r="V24" s="138"/>
      <c r="W24" s="138"/>
      <c r="X24" s="138"/>
      <c r="Y24" s="138"/>
      <c r="Z24" s="138"/>
      <c r="AA24" s="138"/>
      <c r="AB24" s="138"/>
      <c r="AC24" s="138"/>
      <c r="AD24" s="138"/>
      <c r="AE24" s="138"/>
    </row>
    <row r="25" spans="8:31" outlineLevel="1" x14ac:dyDescent="0.2">
      <c r="I25" s="103" t="s">
        <v>355</v>
      </c>
      <c r="J25" s="104"/>
      <c r="K25" s="129"/>
      <c r="L25" s="123"/>
      <c r="M25" s="188"/>
      <c r="N25" s="188"/>
      <c r="O25" s="188"/>
      <c r="P25" s="188"/>
      <c r="Q25" s="123"/>
      <c r="R25" s="123"/>
      <c r="S25" s="123"/>
      <c r="T25" s="123"/>
      <c r="U25" s="123"/>
      <c r="V25" s="123"/>
      <c r="W25" s="123"/>
      <c r="X25" s="123"/>
      <c r="Y25" s="123"/>
      <c r="Z25" s="123"/>
      <c r="AA25" s="123"/>
      <c r="AB25" s="123"/>
      <c r="AC25" s="123"/>
      <c r="AD25" s="123"/>
      <c r="AE25" s="123"/>
    </row>
    <row r="26" spans="8:31" outlineLevel="1" x14ac:dyDescent="0.2">
      <c r="I26" s="96"/>
      <c r="J26" s="129"/>
      <c r="K26" s="129" t="s">
        <v>556</v>
      </c>
      <c r="L26" s="123"/>
      <c r="M26" s="188"/>
      <c r="N26" s="188"/>
      <c r="O26" s="188"/>
      <c r="P26" s="188"/>
      <c r="Q26" s="188"/>
      <c r="R26" s="188">
        <f>0.00001*R201^(2.2653)</f>
        <v>0.6762032786128368</v>
      </c>
      <c r="S26" s="188">
        <f t="shared" ref="S26:AE26" si="1">0.00001*S201^(2.2653)</f>
        <v>0.74087677664219054</v>
      </c>
      <c r="T26" s="188">
        <f t="shared" si="1"/>
        <v>0.80966614237500711</v>
      </c>
      <c r="U26" s="188">
        <f t="shared" si="1"/>
        <v>0.8811817462416065</v>
      </c>
      <c r="V26" s="188">
        <f t="shared" si="1"/>
        <v>0.95374907064076242</v>
      </c>
      <c r="W26" s="188">
        <f t="shared" si="1"/>
        <v>1.0254165865691705</v>
      </c>
      <c r="X26" s="188">
        <f t="shared" si="1"/>
        <v>1.0939801664073348</v>
      </c>
      <c r="Y26" s="188">
        <f t="shared" si="1"/>
        <v>1.1570247157618614</v>
      </c>
      <c r="Z26" s="188">
        <f t="shared" si="1"/>
        <v>1.2119834710482174</v>
      </c>
      <c r="AA26" s="188">
        <f t="shared" si="1"/>
        <v>1.2562151326501769</v>
      </c>
      <c r="AB26" s="188">
        <f t="shared" si="1"/>
        <v>1.2870986838306733</v>
      </c>
      <c r="AC26" s="188">
        <f t="shared" si="1"/>
        <v>1.302145375263255</v>
      </c>
      <c r="AD26" s="188">
        <f t="shared" si="1"/>
        <v>1.302145375263255</v>
      </c>
      <c r="AE26" s="188">
        <f t="shared" si="1"/>
        <v>1.302145375263255</v>
      </c>
    </row>
    <row r="27" spans="8:31" outlineLevel="1" x14ac:dyDescent="0.2">
      <c r="I27" s="96"/>
      <c r="J27" s="129"/>
      <c r="K27" s="129" t="s">
        <v>557</v>
      </c>
      <c r="L27" s="123"/>
      <c r="M27" s="188"/>
      <c r="N27" s="188"/>
      <c r="O27" s="188"/>
      <c r="P27" s="188"/>
      <c r="Q27" s="188"/>
      <c r="R27" s="188">
        <f>$L$22</f>
        <v>0.237764752502793</v>
      </c>
      <c r="S27" s="188">
        <f t="shared" ref="S27:AE27" si="2">$L$22</f>
        <v>0.237764752502793</v>
      </c>
      <c r="T27" s="188">
        <f t="shared" si="2"/>
        <v>0.237764752502793</v>
      </c>
      <c r="U27" s="188">
        <f t="shared" si="2"/>
        <v>0.237764752502793</v>
      </c>
      <c r="V27" s="188">
        <f t="shared" si="2"/>
        <v>0.237764752502793</v>
      </c>
      <c r="W27" s="188">
        <f t="shared" si="2"/>
        <v>0.237764752502793</v>
      </c>
      <c r="X27" s="188">
        <f t="shared" si="2"/>
        <v>0.237764752502793</v>
      </c>
      <c r="Y27" s="188">
        <f t="shared" si="2"/>
        <v>0.237764752502793</v>
      </c>
      <c r="Z27" s="188">
        <f t="shared" si="2"/>
        <v>0.237764752502793</v>
      </c>
      <c r="AA27" s="188">
        <f t="shared" si="2"/>
        <v>0.237764752502793</v>
      </c>
      <c r="AB27" s="188">
        <f t="shared" si="2"/>
        <v>0.237764752502793</v>
      </c>
      <c r="AC27" s="188">
        <f t="shared" si="2"/>
        <v>0.237764752502793</v>
      </c>
      <c r="AD27" s="188">
        <f t="shared" si="2"/>
        <v>0.237764752502793</v>
      </c>
      <c r="AE27" s="188">
        <f t="shared" si="2"/>
        <v>0.237764752502793</v>
      </c>
    </row>
    <row r="28" spans="8:31" outlineLevel="1" x14ac:dyDescent="0.2">
      <c r="I28" s="96"/>
      <c r="J28" s="129"/>
      <c r="K28" s="129" t="s">
        <v>558</v>
      </c>
      <c r="L28" s="123"/>
      <c r="M28" s="188"/>
      <c r="N28" s="188"/>
      <c r="O28" s="188"/>
      <c r="P28" s="188"/>
      <c r="Q28" s="188"/>
      <c r="R28" s="188">
        <f>$L$23</f>
        <v>0.18024102205856893</v>
      </c>
      <c r="S28" s="188">
        <f t="shared" ref="S28:AE28" si="3">$L$23</f>
        <v>0.18024102205856893</v>
      </c>
      <c r="T28" s="188">
        <f t="shared" si="3"/>
        <v>0.18024102205856893</v>
      </c>
      <c r="U28" s="188">
        <f t="shared" si="3"/>
        <v>0.18024102205856893</v>
      </c>
      <c r="V28" s="188">
        <f t="shared" si="3"/>
        <v>0.18024102205856893</v>
      </c>
      <c r="W28" s="188">
        <f t="shared" si="3"/>
        <v>0.18024102205856893</v>
      </c>
      <c r="X28" s="188">
        <f t="shared" si="3"/>
        <v>0.18024102205856893</v>
      </c>
      <c r="Y28" s="188">
        <f t="shared" si="3"/>
        <v>0.18024102205856893</v>
      </c>
      <c r="Z28" s="188">
        <f t="shared" si="3"/>
        <v>0.18024102205856893</v>
      </c>
      <c r="AA28" s="188">
        <f t="shared" si="3"/>
        <v>0.18024102205856893</v>
      </c>
      <c r="AB28" s="188">
        <f t="shared" si="3"/>
        <v>0.18024102205856893</v>
      </c>
      <c r="AC28" s="188">
        <f t="shared" si="3"/>
        <v>0.18024102205856893</v>
      </c>
      <c r="AD28" s="188">
        <f t="shared" si="3"/>
        <v>0.18024102205856893</v>
      </c>
      <c r="AE28" s="188">
        <f t="shared" si="3"/>
        <v>0.18024102205856893</v>
      </c>
    </row>
    <row r="30" spans="8:31" x14ac:dyDescent="0.2">
      <c r="H30" s="72" t="s">
        <v>559</v>
      </c>
    </row>
    <row r="31" spans="8:31" outlineLevel="1" x14ac:dyDescent="0.2">
      <c r="I31" s="80" t="s">
        <v>254</v>
      </c>
      <c r="J31" s="120"/>
      <c r="K31" s="120"/>
      <c r="L31" s="119"/>
      <c r="M31" s="119"/>
      <c r="N31" s="119"/>
      <c r="O31" s="119"/>
      <c r="P31" s="119"/>
      <c r="Q31" s="119"/>
      <c r="R31" s="119"/>
      <c r="S31" s="119"/>
      <c r="T31" s="119"/>
      <c r="U31" s="119"/>
      <c r="V31" s="119"/>
      <c r="W31" s="119"/>
      <c r="X31" s="119"/>
      <c r="Y31" s="119"/>
      <c r="Z31" s="119"/>
      <c r="AA31" s="119"/>
      <c r="AB31" s="119"/>
      <c r="AC31" s="119"/>
      <c r="AD31" s="119"/>
      <c r="AE31" s="119"/>
    </row>
    <row r="32" spans="8:31" outlineLevel="1" x14ac:dyDescent="0.2">
      <c r="I32" s="81"/>
      <c r="J32" s="184" t="s">
        <v>548</v>
      </c>
      <c r="K32" s="120"/>
      <c r="L32" s="119"/>
      <c r="M32" s="119"/>
      <c r="N32" s="119"/>
      <c r="O32" s="119"/>
      <c r="P32" s="119"/>
      <c r="Q32" s="119"/>
      <c r="R32" s="119"/>
      <c r="S32" s="119"/>
      <c r="T32" s="119"/>
      <c r="U32" s="119"/>
      <c r="V32" s="119"/>
      <c r="W32" s="119"/>
      <c r="X32" s="119"/>
      <c r="Y32" s="119"/>
      <c r="Z32" s="119"/>
      <c r="AA32" s="119"/>
      <c r="AB32" s="119"/>
      <c r="AC32" s="119"/>
      <c r="AD32" s="119"/>
      <c r="AE32" s="119"/>
    </row>
    <row r="33" spans="9:31" outlineLevel="1" x14ac:dyDescent="0.2">
      <c r="I33" s="81"/>
      <c r="J33" s="184"/>
      <c r="K33" s="120" t="s">
        <v>560</v>
      </c>
      <c r="L33" s="119"/>
      <c r="M33" s="119"/>
      <c r="N33" s="172">
        <f>INDEX(US.CPI,MATCH(2022,CPI.years,0))/INDEX(US.CPI,MATCH(N$4,CPI.years,0))*100</f>
        <v>108.58711909379618</v>
      </c>
      <c r="O33" s="172">
        <f>INDEX(US.CPI,MATCH(2022,CPI.years,0))/INDEX(US.CPI,MATCH(O$4,CPI.years,0))*98</f>
        <v>104.52147212867301</v>
      </c>
      <c r="P33" s="172">
        <f>INDEX(US.CPI,MATCH(2022,CPI.years,0))/INDEX(US.CPI,MATCH(P$4,CPI.years,0))*102</f>
        <v>107.46191401668243</v>
      </c>
      <c r="Q33" s="119"/>
      <c r="R33" s="172" cm="1">
        <f t="array" ref="R33">TREND($N$33:$P$33,$N$37:$P$37,R$37)</f>
        <v>105.16153611588511</v>
      </c>
      <c r="S33" s="172" cm="1">
        <f t="array" ref="S33">TREND($N$33:$P$33,$N$37:$P$37,S$37)</f>
        <v>104.58071626590458</v>
      </c>
      <c r="T33" s="172" cm="1">
        <f t="array" ref="T33">TREND($N$33:$P$33,$N$37:$P$37,T$37)</f>
        <v>103.99245000759096</v>
      </c>
      <c r="U33" s="172" cm="1">
        <f t="array" ref="U33">TREND($N$33:$P$33,$N$37:$P$37,U$37)</f>
        <v>103.39673734094424</v>
      </c>
      <c r="V33" s="172" cm="1">
        <f t="array" ref="V33">TREND($N$33:$P$33,$N$37:$P$37,V$37)</f>
        <v>102.79357826596446</v>
      </c>
      <c r="W33" s="172" cm="1">
        <f t="array" ref="W33">TREND($N$33:$P$33,$N$37:$P$37,W$37)</f>
        <v>102.18297278265159</v>
      </c>
      <c r="X33" s="172" cm="1">
        <f t="array" ref="X33">TREND($N$33:$P$33,$N$37:$P$37,X$37)</f>
        <v>101.56492089100563</v>
      </c>
      <c r="Y33" s="172" cm="1">
        <f t="array" ref="Y33">TREND($N$33:$P$33,$N$37:$P$37,Y$37)</f>
        <v>100.93942259102658</v>
      </c>
      <c r="Z33" s="172" cm="1">
        <f t="array" ref="Z33">TREND($N$33:$P$33,$N$37:$P$37,Z$37)</f>
        <v>100.30647788271446</v>
      </c>
      <c r="AA33" s="172" cm="1">
        <f t="array" ref="AA33">TREND($N$33:$P$33,$N$37:$P$37,AA$37)</f>
        <v>99.666086766069256</v>
      </c>
      <c r="AB33" s="172" cm="1">
        <f t="array" ref="AB33">TREND($N$33:$P$33,$N$37:$P$37,AB$37)</f>
        <v>99.018249241090956</v>
      </c>
      <c r="AC33" s="172" cm="1">
        <f t="array" ref="AC33">TREND($N$33:$P$33,$N$37:$P$37,AC$37)</f>
        <v>98.362965307779589</v>
      </c>
      <c r="AD33" s="172" cm="1">
        <f t="array" ref="AD33">TREND($N$33:$P$33,$N$37:$P$37,AD$37)</f>
        <v>97.700234966135127</v>
      </c>
      <c r="AE33" s="172" cm="1">
        <f t="array" ref="AE33">TREND($N$33:$P$33,$N$37:$P$37,AE$37)</f>
        <v>97.030058216157585</v>
      </c>
    </row>
    <row r="34" spans="9:31" outlineLevel="1" x14ac:dyDescent="0.2">
      <c r="I34" s="81"/>
      <c r="J34" s="184"/>
      <c r="K34" s="120" t="s">
        <v>561</v>
      </c>
      <c r="L34" s="119"/>
      <c r="M34" s="119"/>
      <c r="N34" s="172">
        <f>INDEX(US.CPI,MATCH(2022,CPI.years,0))/INDEX(US.CPI,MATCH(N$4,CPI.years,0))*195</f>
        <v>211.74488223290254</v>
      </c>
      <c r="O34" s="172">
        <f>INDEX(US.CPI,MATCH(2022,CPI.years,0))/INDEX(US.CPI,MATCH(O$4,CPI.years,0))*192</f>
        <v>204.77676172148182</v>
      </c>
      <c r="P34" s="172">
        <f>INDEX(US.CPI,MATCH(2022,CPI.years,0))/INDEX(US.CPI,MATCH(P$4,CPI.years,0))*203</f>
        <v>213.87027985673072</v>
      </c>
      <c r="Q34" s="119"/>
      <c r="R34" s="172" cm="1">
        <f t="array" ref="R34">TREND($N$34:$P$34,$N$37:$P$37,R$37)</f>
        <v>213.43302610785912</v>
      </c>
      <c r="S34" s="172" cm="1">
        <f t="array" ref="S34">TREND($N$34:$P$34,$N$37:$P$37,S$37)</f>
        <v>214.56444346067326</v>
      </c>
      <c r="T34" s="172" cm="1">
        <f t="array" ref="T34">TREND($N$34:$P$34,$N$37:$P$37,T$37)</f>
        <v>215.7103661641645</v>
      </c>
      <c r="U34" s="172" cm="1">
        <f t="array" ref="U34">TREND($N$34:$P$34,$N$37:$P$37,U$37)</f>
        <v>216.87079421833283</v>
      </c>
      <c r="V34" s="172" cm="1">
        <f t="array" ref="V34">TREND($N$34:$P$34,$N$37:$P$37,V$37)</f>
        <v>218.04572762317829</v>
      </c>
      <c r="W34" s="172" cm="1">
        <f t="array" ref="W34">TREND($N$34:$P$34,$N$37:$P$37,W$37)</f>
        <v>219.23516637870085</v>
      </c>
      <c r="X34" s="172" cm="1">
        <f t="array" ref="X34">TREND($N$34:$P$34,$N$37:$P$37,X$37)</f>
        <v>220.43911048490054</v>
      </c>
      <c r="Y34" s="172" cm="1">
        <f t="array" ref="Y34">TREND($N$34:$P$34,$N$37:$P$37,Y$37)</f>
        <v>221.65755994177729</v>
      </c>
      <c r="Z34" s="172" cm="1">
        <f t="array" ref="Z34">TREND($N$34:$P$34,$N$37:$P$37,Z$37)</f>
        <v>222.89051474933117</v>
      </c>
      <c r="AA34" s="172" cm="1">
        <f t="array" ref="AA34">TREND($N$34:$P$34,$N$37:$P$37,AA$37)</f>
        <v>224.13797490756215</v>
      </c>
      <c r="AB34" s="172" cm="1">
        <f t="array" ref="AB34">TREND($N$34:$P$34,$N$37:$P$37,AB$37)</f>
        <v>225.39994041647023</v>
      </c>
      <c r="AC34" s="172" cm="1">
        <f t="array" ref="AC34">TREND($N$34:$P$34,$N$37:$P$37,AC$37)</f>
        <v>226.6764112760554</v>
      </c>
      <c r="AD34" s="172" cm="1">
        <f t="array" ref="AD34">TREND($N$34:$P$34,$N$37:$P$37,AD$37)</f>
        <v>227.9673874863177</v>
      </c>
      <c r="AE34" s="172" cm="1">
        <f t="array" ref="AE34">TREND($N$34:$P$34,$N$37:$P$37,AE$37)</f>
        <v>229.2728690472571</v>
      </c>
    </row>
    <row r="35" spans="9:31" outlineLevel="1" x14ac:dyDescent="0.2">
      <c r="I35" s="81"/>
      <c r="J35" s="184"/>
      <c r="K35" s="120" t="s">
        <v>562</v>
      </c>
      <c r="L35" s="119"/>
      <c r="M35" s="119"/>
      <c r="N35" s="172">
        <f>INDEX(US.CPI,MATCH(2022,CPI.years,0))/INDEX(US.CPI,MATCH(N$4,CPI.years,0))*170</f>
        <v>184.59810245945349</v>
      </c>
      <c r="O35" s="172">
        <f>INDEX(US.CPI,MATCH(2022,CPI.years,0))/INDEX(US.CPI,MATCH(O$4,CPI.years,0))*167</f>
        <v>178.11312087233054</v>
      </c>
      <c r="P35" s="172">
        <f>INDEX(US.CPI,MATCH(2022,CPI.years,0))/INDEX(US.CPI,MATCH(P$4,CPI.years,0))*164</f>
        <v>172.78190096799921</v>
      </c>
      <c r="Q35" s="119"/>
      <c r="R35" s="172" cm="1">
        <f t="array" ref="R35">TREND($N$35:$P$35,$N$37:$P$37,R$37)</f>
        <v>160.44719005139643</v>
      </c>
      <c r="S35" s="172" cm="1">
        <f t="array" ref="S35">TREND($N$35:$P$35,$N$37:$P$37,S$37)</f>
        <v>154.26297156917636</v>
      </c>
      <c r="T35" s="172" cm="1">
        <f t="array" ref="T35">TREND($N$35:$P$35,$N$37:$P$37,T$37)</f>
        <v>147.99946823462011</v>
      </c>
      <c r="U35" s="172" cm="1">
        <f t="array" ref="U35">TREND($N$35:$P$35,$N$37:$P$37,U$37)</f>
        <v>141.65668004772769</v>
      </c>
      <c r="V35" s="172" cm="1">
        <f t="array" ref="V35">TREND($N$35:$P$35,$N$37:$P$37,V$37)</f>
        <v>135.23460700849913</v>
      </c>
      <c r="W35" s="172" cm="1">
        <f t="array" ref="W35">TREND($N$35:$P$35,$N$37:$P$37,W$37)</f>
        <v>128.73324911693442</v>
      </c>
      <c r="X35" s="172" cm="1">
        <f t="array" ref="X35">TREND($N$35:$P$35,$N$37:$P$37,X$37)</f>
        <v>122.15260637303356</v>
      </c>
      <c r="Y35" s="172" cm="1">
        <f t="array" ref="Y35">TREND($N$35:$P$35,$N$37:$P$37,Y$37)</f>
        <v>115.49267877679648</v>
      </c>
      <c r="Z35" s="172" cm="1">
        <f t="array" ref="Z35">TREND($N$35:$P$35,$N$37:$P$37,Z$37)</f>
        <v>108.75346632822334</v>
      </c>
      <c r="AA35" s="172" cm="1">
        <f t="array" ref="AA35">TREND($N$35:$P$35,$N$37:$P$37,AA$37)</f>
        <v>101.93496902731403</v>
      </c>
      <c r="AB35" s="172" cm="1">
        <f t="array" ref="AB35">TREND($N$35:$P$35,$N$37:$P$37,AB$37)</f>
        <v>95.037186874068539</v>
      </c>
      <c r="AC35" s="172" cm="1">
        <f t="array" ref="AC35">TREND($N$35:$P$35,$N$37:$P$37,AC$37)</f>
        <v>88.060119868486879</v>
      </c>
      <c r="AD35" s="172" cm="1">
        <f t="array" ref="AD35">TREND($N$35:$P$35,$N$37:$P$37,AD$37)</f>
        <v>81.003768010569075</v>
      </c>
      <c r="AE35" s="172" cm="1">
        <f t="array" ref="AE35">TREND($N$35:$P$35,$N$37:$P$37,AE$37)</f>
        <v>73.868131300315099</v>
      </c>
    </row>
    <row r="36" spans="9:31" outlineLevel="1" x14ac:dyDescent="0.2">
      <c r="I36" s="81"/>
      <c r="J36" s="184"/>
      <c r="K36" s="120" t="s">
        <v>563</v>
      </c>
      <c r="L36" s="119"/>
      <c r="M36" s="119"/>
      <c r="N36" s="172">
        <f>INDEX(US.CPI,MATCH(2022,CPI.years,0))/INDEX(US.CPI,MATCH(N$4,CPI.years,0))*33</f>
        <v>35.833749300952739</v>
      </c>
      <c r="O36" s="172">
        <f>INDEX(US.CPI,MATCH(2022,CPI.years,0))/INDEX(US.CPI,MATCH(O$4,CPI.years,0))*32</f>
        <v>34.129460286913634</v>
      </c>
      <c r="P36" s="172">
        <f>INDEX(US.CPI,MATCH(2022,CPI.years,0))/INDEX(US.CPI,MATCH(P$4,CPI.years,0))*38</f>
        <v>40.034830712097374</v>
      </c>
      <c r="Q36" s="119"/>
      <c r="R36" s="172" cm="1">
        <f t="array" ref="R36">TREND($N$36:$P$36,$N$37:$P$37,R$37)</f>
        <v>43.111030515883144</v>
      </c>
      <c r="S36" s="172" cm="1">
        <f t="array" ref="S36">TREND($N$36:$P$36,$N$37:$P$37,S$37)</f>
        <v>45.319133000977544</v>
      </c>
      <c r="T36" s="172" cm="1">
        <f t="array" ref="T36">TREND($N$36:$P$36,$N$37:$P$37,T$37)</f>
        <v>47.555544492291119</v>
      </c>
      <c r="U36" s="172" cm="1">
        <f t="array" ref="U36">TREND($N$36:$P$36,$N$37:$P$37,U$37)</f>
        <v>49.820264989823848</v>
      </c>
      <c r="V36" s="172" cm="1">
        <f t="array" ref="V36">TREND($N$36:$P$36,$N$37:$P$37,V$37)</f>
        <v>52.113294493575737</v>
      </c>
      <c r="W36" s="172" cm="1">
        <f t="array" ref="W36">TREND($N$36:$P$36,$N$37:$P$37,W$37)</f>
        <v>54.434633003546779</v>
      </c>
      <c r="X36" s="172" cm="1">
        <f t="array" ref="X36">TREND($N$36:$P$36,$N$37:$P$37,X$37)</f>
        <v>56.784280519736988</v>
      </c>
      <c r="Y36" s="172" cm="1">
        <f t="array" ref="Y36">TREND($N$36:$P$36,$N$37:$P$37,Y$37)</f>
        <v>59.162237042146366</v>
      </c>
      <c r="Z36" s="172" cm="1">
        <f t="array" ref="Z36">TREND($N$36:$P$36,$N$37:$P$37,Z$37)</f>
        <v>61.568502570774882</v>
      </c>
      <c r="AA36" s="172" cm="1">
        <f t="array" ref="AA36">TREND($N$36:$P$36,$N$37:$P$37,AA$37)</f>
        <v>64.003077105622566</v>
      </c>
      <c r="AB36" s="172" cm="1">
        <f t="array" ref="AB36">TREND($N$36:$P$36,$N$37:$P$37,AB$37)</f>
        <v>66.465960646689396</v>
      </c>
      <c r="AC36" s="172" cm="1">
        <f t="array" ref="AC36">TREND($N$36:$P$36,$N$37:$P$37,AC$37)</f>
        <v>68.957153193975401</v>
      </c>
      <c r="AD36" s="172" cm="1">
        <f t="array" ref="AD36">TREND($N$36:$P$36,$N$37:$P$37,AD$37)</f>
        <v>71.476654747480566</v>
      </c>
      <c r="AE36" s="172" cm="1">
        <f t="array" ref="AE36">TREND($N$36:$P$36,$N$37:$P$37,AE$37)</f>
        <v>74.024465307204878</v>
      </c>
    </row>
    <row r="37" spans="9:31" outlineLevel="1" x14ac:dyDescent="0.2">
      <c r="I37" s="81"/>
      <c r="J37" s="184"/>
      <c r="K37" s="120" t="s">
        <v>564</v>
      </c>
      <c r="L37" s="119"/>
      <c r="M37" s="119"/>
      <c r="N37" s="190" cm="1">
        <f t="array" ref="N37:AE37">N200:AE200</f>
        <v>2.4476999999999998</v>
      </c>
      <c r="O37" s="190">
        <v>2.6105</v>
      </c>
      <c r="P37" s="190">
        <v>2.7754999999999996</v>
      </c>
      <c r="Q37" s="190">
        <v>2.9426999999999999</v>
      </c>
      <c r="R37" s="190">
        <v>3.1120999999999999</v>
      </c>
      <c r="S37" s="190">
        <v>3.2836999999999996</v>
      </c>
      <c r="T37" s="190">
        <v>3.4574999999999996</v>
      </c>
      <c r="U37" s="190">
        <v>3.6334999999999997</v>
      </c>
      <c r="V37" s="190">
        <v>3.8117000000000001</v>
      </c>
      <c r="W37" s="190">
        <v>3.9920999999999998</v>
      </c>
      <c r="X37" s="190">
        <v>4.1746999999999996</v>
      </c>
      <c r="Y37" s="190">
        <v>4.3595000000000006</v>
      </c>
      <c r="Z37" s="190">
        <v>4.5465</v>
      </c>
      <c r="AA37" s="190">
        <v>4.7356999999999996</v>
      </c>
      <c r="AB37" s="190">
        <v>4.9270999999999994</v>
      </c>
      <c r="AC37" s="190">
        <v>5.1206999999999994</v>
      </c>
      <c r="AD37" s="190">
        <v>5.3164999999999996</v>
      </c>
      <c r="AE37" s="190">
        <v>5.5145</v>
      </c>
    </row>
    <row r="38" spans="9:31" outlineLevel="1" x14ac:dyDescent="0.2">
      <c r="I38" s="81"/>
      <c r="J38" s="184"/>
      <c r="K38" s="120"/>
      <c r="L38" s="119"/>
      <c r="M38" s="119"/>
      <c r="N38" s="190"/>
      <c r="O38" s="190"/>
      <c r="P38" s="190"/>
      <c r="Q38" s="190"/>
      <c r="R38" s="190"/>
      <c r="S38" s="190"/>
      <c r="T38" s="190"/>
      <c r="U38" s="190"/>
      <c r="V38" s="190"/>
      <c r="W38" s="190"/>
      <c r="X38" s="190"/>
      <c r="Y38" s="190"/>
      <c r="Z38" s="190"/>
      <c r="AA38" s="190"/>
      <c r="AB38" s="190"/>
      <c r="AC38" s="190"/>
      <c r="AD38" s="190"/>
      <c r="AE38" s="190"/>
    </row>
    <row r="39" spans="9:31" outlineLevel="1" x14ac:dyDescent="0.2">
      <c r="I39" s="81"/>
      <c r="J39" s="184"/>
      <c r="K39" s="120" t="s">
        <v>565</v>
      </c>
      <c r="L39" s="119"/>
      <c r="M39" s="119"/>
      <c r="N39" s="173">
        <f t="shared" ref="N39:P42" si="4">N33*N$37*1000/1000000</f>
        <v>0.26578869140588485</v>
      </c>
      <c r="O39" s="173">
        <f t="shared" si="4"/>
        <v>0.27285330299190086</v>
      </c>
      <c r="P39" s="173">
        <f>P33*P$37*1000/1000000</f>
        <v>0.29826054235330202</v>
      </c>
      <c r="Q39" s="190"/>
      <c r="R39" s="190">
        <f>AVERAGE($N$39:$P$39)</f>
        <v>0.27896751225036259</v>
      </c>
      <c r="S39" s="190">
        <f>AVERAGE($N$39:$P$39)</f>
        <v>0.27896751225036259</v>
      </c>
      <c r="T39" s="190">
        <f t="shared" ref="T39:AD39" si="5">AVERAGE($N$39:$P$39)</f>
        <v>0.27896751225036259</v>
      </c>
      <c r="U39" s="190">
        <f t="shared" si="5"/>
        <v>0.27896751225036259</v>
      </c>
      <c r="V39" s="190">
        <f t="shared" si="5"/>
        <v>0.27896751225036259</v>
      </c>
      <c r="W39" s="190">
        <f t="shared" si="5"/>
        <v>0.27896751225036259</v>
      </c>
      <c r="X39" s="190">
        <f t="shared" si="5"/>
        <v>0.27896751225036259</v>
      </c>
      <c r="Y39" s="190">
        <f t="shared" si="5"/>
        <v>0.27896751225036259</v>
      </c>
      <c r="Z39" s="190">
        <f t="shared" si="5"/>
        <v>0.27896751225036259</v>
      </c>
      <c r="AA39" s="190">
        <f t="shared" si="5"/>
        <v>0.27896751225036259</v>
      </c>
      <c r="AB39" s="190">
        <f t="shared" si="5"/>
        <v>0.27896751225036259</v>
      </c>
      <c r="AC39" s="190">
        <f t="shared" si="5"/>
        <v>0.27896751225036259</v>
      </c>
      <c r="AD39" s="190">
        <f t="shared" si="5"/>
        <v>0.27896751225036259</v>
      </c>
      <c r="AE39" s="190">
        <f>AVERAGE($N$39:$P$39)</f>
        <v>0.27896751225036259</v>
      </c>
    </row>
    <row r="40" spans="9:31" outlineLevel="1" x14ac:dyDescent="0.2">
      <c r="I40" s="81"/>
      <c r="J40" s="184"/>
      <c r="K40" s="120" t="s">
        <v>566</v>
      </c>
      <c r="L40" s="119"/>
      <c r="M40" s="119"/>
      <c r="N40" s="173">
        <f t="shared" si="4"/>
        <v>0.5182879482414755</v>
      </c>
      <c r="O40" s="173">
        <f t="shared" si="4"/>
        <v>0.53456973647392836</v>
      </c>
      <c r="P40" s="173">
        <f t="shared" si="4"/>
        <v>0.5935969617423561</v>
      </c>
      <c r="Q40" s="190"/>
      <c r="R40" s="190">
        <f>AVERAGE($N$40:$P$40)</f>
        <v>0.54881821548592002</v>
      </c>
      <c r="S40" s="190">
        <f>AVERAGE($N$40:$P$40)</f>
        <v>0.54881821548592002</v>
      </c>
      <c r="T40" s="190">
        <f t="shared" ref="T40:AD40" si="6">AVERAGE($N$40:$P$40)</f>
        <v>0.54881821548592002</v>
      </c>
      <c r="U40" s="190">
        <f t="shared" si="6"/>
        <v>0.54881821548592002</v>
      </c>
      <c r="V40" s="190">
        <f t="shared" si="6"/>
        <v>0.54881821548592002</v>
      </c>
      <c r="W40" s="190">
        <f t="shared" si="6"/>
        <v>0.54881821548592002</v>
      </c>
      <c r="X40" s="190">
        <f t="shared" si="6"/>
        <v>0.54881821548592002</v>
      </c>
      <c r="Y40" s="190">
        <f t="shared" si="6"/>
        <v>0.54881821548592002</v>
      </c>
      <c r="Z40" s="190">
        <f t="shared" si="6"/>
        <v>0.54881821548592002</v>
      </c>
      <c r="AA40" s="190">
        <f t="shared" si="6"/>
        <v>0.54881821548592002</v>
      </c>
      <c r="AB40" s="190">
        <f t="shared" si="6"/>
        <v>0.54881821548592002</v>
      </c>
      <c r="AC40" s="190">
        <f t="shared" si="6"/>
        <v>0.54881821548592002</v>
      </c>
      <c r="AD40" s="190">
        <f t="shared" si="6"/>
        <v>0.54881821548592002</v>
      </c>
      <c r="AE40" s="190">
        <f>AVERAGE($N$40:$P$40)</f>
        <v>0.54881821548592002</v>
      </c>
    </row>
    <row r="41" spans="9:31" outlineLevel="1" x14ac:dyDescent="0.2">
      <c r="I41" s="81"/>
      <c r="J41" s="184"/>
      <c r="K41" s="120" t="s">
        <v>567</v>
      </c>
      <c r="L41" s="119"/>
      <c r="M41" s="119"/>
      <c r="N41" s="173">
        <f t="shared" si="4"/>
        <v>0.45184077539000422</v>
      </c>
      <c r="O41" s="173">
        <f t="shared" si="4"/>
        <v>0.46496430203721889</v>
      </c>
      <c r="P41" s="173">
        <f>P35*P$37*1000/1000000</f>
        <v>0.47955616613668173</v>
      </c>
      <c r="Q41" s="190"/>
      <c r="R41" s="173">
        <f>R35*R$37*1000/1000000</f>
        <v>0.49932770015895084</v>
      </c>
      <c r="S41" s="173">
        <f>S35*S$37*1000/1000000</f>
        <v>0.50655331974170437</v>
      </c>
      <c r="T41" s="173">
        <f t="shared" ref="T41:AD41" si="7">T35*T$37*1000/1000000</f>
        <v>0.51170816142119901</v>
      </c>
      <c r="U41" s="173">
        <f t="shared" si="7"/>
        <v>0.51470954695341853</v>
      </c>
      <c r="V41" s="173">
        <f t="shared" si="7"/>
        <v>0.5154737515342962</v>
      </c>
      <c r="W41" s="173">
        <f t="shared" si="7"/>
        <v>0.51391600379971381</v>
      </c>
      <c r="X41" s="173">
        <f t="shared" si="7"/>
        <v>0.50995048582550317</v>
      </c>
      <c r="Y41" s="173">
        <f t="shared" si="7"/>
        <v>0.50349033312744429</v>
      </c>
      <c r="Z41" s="173">
        <f t="shared" si="7"/>
        <v>0.4944476346612674</v>
      </c>
      <c r="AA41" s="173">
        <f t="shared" si="7"/>
        <v>0.48273343282265102</v>
      </c>
      <c r="AB41" s="173">
        <f t="shared" si="7"/>
        <v>0.468257723447223</v>
      </c>
      <c r="AC41" s="173">
        <f t="shared" si="7"/>
        <v>0.45092945581056065</v>
      </c>
      <c r="AD41" s="173">
        <f t="shared" si="7"/>
        <v>0.43065653262819048</v>
      </c>
      <c r="AE41" s="173">
        <f>AE35*AE$37*1000/1000000</f>
        <v>0.40734581005558762</v>
      </c>
    </row>
    <row r="42" spans="9:31" outlineLevel="1" x14ac:dyDescent="0.2">
      <c r="I42" s="81"/>
      <c r="J42" s="184"/>
      <c r="K42" s="120" t="s">
        <v>568</v>
      </c>
      <c r="L42" s="119"/>
      <c r="M42" s="119"/>
      <c r="N42" s="173">
        <f t="shared" si="4"/>
        <v>8.7710268163942021E-2</v>
      </c>
      <c r="O42" s="173">
        <f t="shared" si="4"/>
        <v>8.9094956078988055E-2</v>
      </c>
      <c r="P42" s="173">
        <f>P36*P$37*1000/1000000</f>
        <v>0.11111667264142626</v>
      </c>
      <c r="Q42" s="190"/>
      <c r="R42" s="190">
        <f>AVERAGE($N$42:$P$42)</f>
        <v>9.5973965628118774E-2</v>
      </c>
      <c r="S42" s="190">
        <f>AVERAGE($N$42:$P$42)</f>
        <v>9.5973965628118774E-2</v>
      </c>
      <c r="T42" s="190">
        <f t="shared" ref="T42:AE42" si="8">AVERAGE($N$42:$P$42)</f>
        <v>9.5973965628118774E-2</v>
      </c>
      <c r="U42" s="190">
        <f t="shared" si="8"/>
        <v>9.5973965628118774E-2</v>
      </c>
      <c r="V42" s="190">
        <f t="shared" si="8"/>
        <v>9.5973965628118774E-2</v>
      </c>
      <c r="W42" s="190">
        <f t="shared" si="8"/>
        <v>9.5973965628118774E-2</v>
      </c>
      <c r="X42" s="190">
        <f t="shared" si="8"/>
        <v>9.5973965628118774E-2</v>
      </c>
      <c r="Y42" s="190">
        <f t="shared" si="8"/>
        <v>9.5973965628118774E-2</v>
      </c>
      <c r="Z42" s="190">
        <f t="shared" si="8"/>
        <v>9.5973965628118774E-2</v>
      </c>
      <c r="AA42" s="190">
        <f t="shared" si="8"/>
        <v>9.5973965628118774E-2</v>
      </c>
      <c r="AB42" s="190">
        <f t="shared" si="8"/>
        <v>9.5973965628118774E-2</v>
      </c>
      <c r="AC42" s="190">
        <f t="shared" si="8"/>
        <v>9.5973965628118774E-2</v>
      </c>
      <c r="AD42" s="190">
        <f t="shared" si="8"/>
        <v>9.5973965628118774E-2</v>
      </c>
      <c r="AE42" s="190">
        <f t="shared" si="8"/>
        <v>9.5973965628118774E-2</v>
      </c>
    </row>
    <row r="43" spans="9:31" outlineLevel="1" x14ac:dyDescent="0.2">
      <c r="I43" s="81"/>
      <c r="J43" s="184"/>
      <c r="K43" s="120"/>
      <c r="L43" s="119"/>
      <c r="M43" s="119"/>
      <c r="N43" s="190"/>
      <c r="O43" s="190"/>
      <c r="P43" s="190"/>
      <c r="Q43" s="190"/>
      <c r="R43" s="190"/>
      <c r="S43" s="190"/>
      <c r="T43" s="190"/>
      <c r="U43" s="190"/>
      <c r="V43" s="190"/>
      <c r="W43" s="190"/>
      <c r="X43" s="190"/>
      <c r="Y43" s="190"/>
      <c r="Z43" s="190"/>
      <c r="AA43" s="190"/>
      <c r="AB43" s="190"/>
      <c r="AC43" s="190"/>
      <c r="AD43" s="190"/>
      <c r="AE43" s="190"/>
    </row>
    <row r="44" spans="9:31" outlineLevel="1" x14ac:dyDescent="0.2">
      <c r="I44" s="81"/>
      <c r="J44" s="184"/>
      <c r="K44" s="120" t="s">
        <v>569</v>
      </c>
      <c r="L44" s="119"/>
      <c r="M44" s="119"/>
      <c r="N44" s="191">
        <f>SUM(N33:N36)</f>
        <v>540.76385308710496</v>
      </c>
      <c r="O44" s="191">
        <f>SUM(O33:O36)</f>
        <v>521.54081500939901</v>
      </c>
      <c r="P44" s="191">
        <f>SUM(P33:P36)</f>
        <v>534.14892555350968</v>
      </c>
      <c r="Q44" s="119"/>
      <c r="R44" s="191">
        <f t="shared" ref="R44:AE44" si="9">SUM(R33:R36)</f>
        <v>522.15278279102381</v>
      </c>
      <c r="S44" s="191">
        <f>SUM(S33:S36)</f>
        <v>518.72726429673173</v>
      </c>
      <c r="T44" s="191">
        <f t="shared" si="9"/>
        <v>515.25782889866673</v>
      </c>
      <c r="U44" s="191">
        <f t="shared" si="9"/>
        <v>511.74447659682858</v>
      </c>
      <c r="V44" s="191">
        <f t="shared" si="9"/>
        <v>508.18720739121761</v>
      </c>
      <c r="W44" s="191">
        <f t="shared" si="9"/>
        <v>504.58602128183361</v>
      </c>
      <c r="X44" s="191">
        <f t="shared" si="9"/>
        <v>500.94091826867668</v>
      </c>
      <c r="Y44" s="191">
        <f t="shared" si="9"/>
        <v>497.25189835174672</v>
      </c>
      <c r="Z44" s="191">
        <f t="shared" si="9"/>
        <v>493.51896153104383</v>
      </c>
      <c r="AA44" s="191">
        <f t="shared" si="9"/>
        <v>489.74210780656801</v>
      </c>
      <c r="AB44" s="191">
        <f t="shared" si="9"/>
        <v>485.92133717831911</v>
      </c>
      <c r="AC44" s="191">
        <f t="shared" si="9"/>
        <v>482.05664964629727</v>
      </c>
      <c r="AD44" s="191">
        <f t="shared" si="9"/>
        <v>478.14804521050246</v>
      </c>
      <c r="AE44" s="191">
        <f t="shared" si="9"/>
        <v>474.19552387093466</v>
      </c>
    </row>
    <row r="45" spans="9:31" outlineLevel="1" x14ac:dyDescent="0.2">
      <c r="I45" s="81"/>
      <c r="J45" s="84" t="s">
        <v>570</v>
      </c>
      <c r="K45" s="120"/>
      <c r="L45" s="119"/>
      <c r="M45" s="119"/>
      <c r="N45" s="119"/>
      <c r="O45" s="119"/>
      <c r="P45" s="119"/>
      <c r="Q45" s="119"/>
      <c r="R45" s="119"/>
      <c r="S45" s="119"/>
      <c r="T45" s="119"/>
      <c r="U45" s="119"/>
      <c r="V45" s="119"/>
      <c r="W45" s="119"/>
      <c r="X45" s="119"/>
      <c r="Y45" s="119"/>
      <c r="Z45" s="119"/>
      <c r="AA45" s="119"/>
      <c r="AB45" s="119"/>
      <c r="AC45" s="119"/>
      <c r="AD45" s="119"/>
      <c r="AE45" s="119"/>
    </row>
    <row r="46" spans="9:31" outlineLevel="1" x14ac:dyDescent="0.2">
      <c r="I46" s="81"/>
      <c r="J46" s="120"/>
      <c r="K46" s="120" t="s">
        <v>571</v>
      </c>
      <c r="L46" s="119"/>
      <c r="M46" s="172"/>
      <c r="N46" s="172">
        <f>0.0003*N201^(2.8212)</f>
        <v>201.42299723660284</v>
      </c>
      <c r="O46" s="172">
        <f>0.0003*O201^(2.8212)</f>
        <v>222.35545650967703</v>
      </c>
      <c r="P46" s="172">
        <f>0.0003*P201^(2.8212)</f>
        <v>247.61571679374671</v>
      </c>
      <c r="Q46" s="172">
        <f t="shared" ref="Q46:AE46" si="10">0.0003*Q201^(2.8212)</f>
        <v>277.15364817728886</v>
      </c>
      <c r="R46" s="172">
        <f t="shared" si="10"/>
        <v>310.80617501817369</v>
      </c>
      <c r="S46" s="172">
        <f t="shared" si="10"/>
        <v>348.25147830350653</v>
      </c>
      <c r="T46" s="172">
        <f>0.0003*T201^(2.8212)</f>
        <v>388.96946583396243</v>
      </c>
      <c r="U46" s="172">
        <f t="shared" si="10"/>
        <v>432.21091800348944</v>
      </c>
      <c r="V46" s="172">
        <f t="shared" si="10"/>
        <v>476.97801520469505</v>
      </c>
      <c r="W46" s="172">
        <f t="shared" si="10"/>
        <v>522.01900700173189</v>
      </c>
      <c r="X46" s="172">
        <f t="shared" si="10"/>
        <v>565.83960889647176</v>
      </c>
      <c r="Y46" s="172">
        <f t="shared" si="10"/>
        <v>606.73332222919669</v>
      </c>
      <c r="Z46" s="172">
        <f t="shared" si="10"/>
        <v>642.83227508963921</v>
      </c>
      <c r="AA46" s="172">
        <f t="shared" si="10"/>
        <v>672.17938150603243</v>
      </c>
      <c r="AB46" s="172">
        <f t="shared" si="10"/>
        <v>692.8216126854004</v>
      </c>
      <c r="AC46" s="172">
        <f t="shared" si="10"/>
        <v>702.92296297211419</v>
      </c>
      <c r="AD46" s="172">
        <f t="shared" si="10"/>
        <v>702.92296297211419</v>
      </c>
      <c r="AE46" s="172">
        <f t="shared" si="10"/>
        <v>702.92296297211419</v>
      </c>
    </row>
    <row r="47" spans="9:31" outlineLevel="1" x14ac:dyDescent="0.2">
      <c r="I47" s="81"/>
      <c r="J47" s="120"/>
      <c r="K47" s="120" t="s">
        <v>572</v>
      </c>
      <c r="L47" s="119"/>
      <c r="M47" s="119"/>
      <c r="N47" s="119"/>
      <c r="O47" s="119"/>
      <c r="P47" s="121">
        <f>P46/$P$46</f>
        <v>1</v>
      </c>
      <c r="Q47" s="121">
        <f t="shared" ref="Q47:AE47" si="11">Q46/$P$46</f>
        <v>1.1192894044288231</v>
      </c>
      <c r="R47" s="121">
        <f>R46/$P$46</f>
        <v>1.2551956678786345</v>
      </c>
      <c r="S47" s="121">
        <f t="shared" si="11"/>
        <v>1.4064191191611035</v>
      </c>
      <c r="T47" s="121">
        <f t="shared" si="11"/>
        <v>1.5708593576794536</v>
      </c>
      <c r="U47" s="121">
        <f t="shared" si="11"/>
        <v>1.7454906481703769</v>
      </c>
      <c r="V47" s="121">
        <f t="shared" si="11"/>
        <v>1.9262832803218113</v>
      </c>
      <c r="W47" s="121">
        <f t="shared" si="11"/>
        <v>2.1081820401430793</v>
      </c>
      <c r="X47" s="121">
        <f t="shared" si="11"/>
        <v>2.2851522359858598</v>
      </c>
      <c r="Y47" s="121">
        <f t="shared" si="11"/>
        <v>2.4503021459440699</v>
      </c>
      <c r="Z47" s="121">
        <f t="shared" si="11"/>
        <v>2.5960883396795484</v>
      </c>
      <c r="AA47" s="121">
        <f t="shared" si="11"/>
        <v>2.7146070944516381</v>
      </c>
      <c r="AB47" s="121">
        <f t="shared" si="11"/>
        <v>2.7979710725005842</v>
      </c>
      <c r="AC47" s="121">
        <f t="shared" si="11"/>
        <v>2.8387655358630521</v>
      </c>
      <c r="AD47" s="121">
        <f t="shared" si="11"/>
        <v>2.8387655358630521</v>
      </c>
      <c r="AE47" s="121">
        <f t="shared" si="11"/>
        <v>2.8387655358630521</v>
      </c>
    </row>
    <row r="48" spans="9:31" outlineLevel="1" x14ac:dyDescent="0.2">
      <c r="I48" s="81"/>
      <c r="J48" s="120"/>
      <c r="K48" s="120" t="s">
        <v>573</v>
      </c>
      <c r="L48" s="119"/>
      <c r="M48" s="119"/>
      <c r="N48" s="119"/>
      <c r="O48" s="119"/>
      <c r="P48" s="121">
        <f>P200/$P$200</f>
        <v>1</v>
      </c>
      <c r="Q48" s="121">
        <f t="shared" ref="Q48:AE48" si="12">Q200/$P$200</f>
        <v>1.0602413979463161</v>
      </c>
      <c r="R48" s="121">
        <f>R200/$P$200</f>
        <v>1.12127544586561</v>
      </c>
      <c r="S48" s="121">
        <f t="shared" si="12"/>
        <v>1.1831021437578815</v>
      </c>
      <c r="T48" s="121">
        <f t="shared" si="12"/>
        <v>1.2457214916231309</v>
      </c>
      <c r="U48" s="121">
        <f t="shared" si="12"/>
        <v>1.3091334894613584</v>
      </c>
      <c r="V48" s="121">
        <f t="shared" si="12"/>
        <v>1.3733381372725637</v>
      </c>
      <c r="W48" s="121">
        <f t="shared" si="12"/>
        <v>1.4383354350567465</v>
      </c>
      <c r="X48" s="121">
        <f t="shared" si="12"/>
        <v>1.5041253828139074</v>
      </c>
      <c r="Y48" s="121">
        <f t="shared" si="12"/>
        <v>1.5707079805440465</v>
      </c>
      <c r="Z48" s="121">
        <f t="shared" si="12"/>
        <v>1.6380832282471629</v>
      </c>
      <c r="AA48" s="121">
        <f t="shared" si="12"/>
        <v>1.7062511259232571</v>
      </c>
      <c r="AB48" s="121">
        <f t="shared" si="12"/>
        <v>1.7752116735723293</v>
      </c>
      <c r="AC48" s="121">
        <f t="shared" si="12"/>
        <v>1.8449648711943794</v>
      </c>
      <c r="AD48" s="121">
        <f t="shared" si="12"/>
        <v>1.9155107187894074</v>
      </c>
      <c r="AE48" s="121">
        <f t="shared" si="12"/>
        <v>1.9868492163574134</v>
      </c>
    </row>
    <row r="49" spans="8:31" outlineLevel="1" x14ac:dyDescent="0.2">
      <c r="I49" s="81"/>
      <c r="J49" s="120"/>
      <c r="K49" s="120" t="s">
        <v>574</v>
      </c>
      <c r="L49" s="119"/>
      <c r="M49" s="119"/>
      <c r="N49" s="119"/>
      <c r="O49" s="119"/>
      <c r="P49" s="192">
        <f>AVERAGE(P47:P48)</f>
        <v>1</v>
      </c>
      <c r="Q49" s="192">
        <f t="shared" ref="Q49:AE49" si="13">AVERAGE(Q47:Q48)</f>
        <v>1.0897654011875697</v>
      </c>
      <c r="R49" s="192">
        <f>AVERAGE(R47:R48)</f>
        <v>1.1882355568721223</v>
      </c>
      <c r="S49" s="192">
        <f t="shared" si="13"/>
        <v>1.2947606314594924</v>
      </c>
      <c r="T49" s="192">
        <f t="shared" si="13"/>
        <v>1.4082904246512924</v>
      </c>
      <c r="U49" s="192">
        <f t="shared" si="13"/>
        <v>1.5273120688158677</v>
      </c>
      <c r="V49" s="192">
        <f t="shared" si="13"/>
        <v>1.6498107087971876</v>
      </c>
      <c r="W49" s="192">
        <f t="shared" si="13"/>
        <v>1.7732587375999129</v>
      </c>
      <c r="X49" s="192">
        <f t="shared" si="13"/>
        <v>1.8946388093998836</v>
      </c>
      <c r="Y49" s="192">
        <f t="shared" si="13"/>
        <v>2.0105050632440582</v>
      </c>
      <c r="Z49" s="192">
        <f t="shared" si="13"/>
        <v>2.1170857839633559</v>
      </c>
      <c r="AA49" s="192">
        <f t="shared" si="13"/>
        <v>2.2104291101874476</v>
      </c>
      <c r="AB49" s="192">
        <f t="shared" si="13"/>
        <v>2.2865913730364569</v>
      </c>
      <c r="AC49" s="192">
        <f t="shared" si="13"/>
        <v>2.341865203528716</v>
      </c>
      <c r="AD49" s="192">
        <f t="shared" si="13"/>
        <v>2.37713812732623</v>
      </c>
      <c r="AE49" s="192">
        <f t="shared" si="13"/>
        <v>2.4128073761102327</v>
      </c>
    </row>
    <row r="50" spans="8:31" outlineLevel="1" x14ac:dyDescent="0.2">
      <c r="I50" s="138"/>
      <c r="J50" s="138"/>
      <c r="K50" s="138"/>
      <c r="L50" s="138"/>
      <c r="M50" s="138"/>
      <c r="N50" s="138"/>
      <c r="O50" s="138"/>
      <c r="P50" s="138"/>
      <c r="Q50" s="138"/>
      <c r="R50" s="138"/>
      <c r="S50" s="138"/>
      <c r="T50" s="138"/>
      <c r="U50" s="138"/>
      <c r="V50" s="138"/>
      <c r="W50" s="138"/>
      <c r="X50" s="138"/>
      <c r="Y50" s="138"/>
      <c r="Z50" s="138"/>
      <c r="AA50" s="138"/>
      <c r="AB50" s="138"/>
      <c r="AC50" s="138"/>
      <c r="AD50" s="138"/>
      <c r="AE50" s="138"/>
    </row>
    <row r="51" spans="8:31" outlineLevel="1" x14ac:dyDescent="0.2">
      <c r="I51" s="103" t="s">
        <v>355</v>
      </c>
      <c r="J51" s="104"/>
      <c r="K51" s="93"/>
      <c r="L51" s="123"/>
      <c r="M51" s="123"/>
      <c r="N51" s="123"/>
      <c r="O51" s="123"/>
      <c r="P51" s="123"/>
      <c r="Q51" s="123"/>
      <c r="R51" s="123"/>
      <c r="S51" s="123"/>
      <c r="T51" s="123"/>
      <c r="U51" s="123"/>
      <c r="V51" s="123"/>
      <c r="W51" s="123"/>
      <c r="X51" s="123"/>
      <c r="Y51" s="123"/>
      <c r="Z51" s="123"/>
      <c r="AA51" s="123"/>
      <c r="AB51" s="123"/>
      <c r="AC51" s="123"/>
      <c r="AD51" s="123"/>
      <c r="AE51" s="123"/>
    </row>
    <row r="52" spans="8:31" outlineLevel="1" x14ac:dyDescent="0.2">
      <c r="I52" s="96"/>
      <c r="J52" s="129"/>
      <c r="K52" s="129" t="s">
        <v>575</v>
      </c>
      <c r="L52" s="123"/>
      <c r="M52" s="123"/>
      <c r="N52" s="123"/>
      <c r="O52" s="123"/>
      <c r="P52" s="123"/>
      <c r="Q52" s="123"/>
      <c r="R52" s="188">
        <f t="shared" ref="R52:AE52" si="14">SUM(R39:R42)*USD_to_CAD</f>
        <v>1.850013611580358</v>
      </c>
      <c r="S52" s="188">
        <f t="shared" si="14"/>
        <v>1.8594069170379373</v>
      </c>
      <c r="T52" s="188">
        <f t="shared" si="14"/>
        <v>1.8661082112212801</v>
      </c>
      <c r="U52" s="188">
        <f t="shared" si="14"/>
        <v>1.8700100124131658</v>
      </c>
      <c r="V52" s="188">
        <f t="shared" si="14"/>
        <v>1.8710034783683069</v>
      </c>
      <c r="W52" s="188">
        <f t="shared" si="14"/>
        <v>1.8689784063133494</v>
      </c>
      <c r="X52" s="188">
        <f t="shared" si="14"/>
        <v>1.8638232329468756</v>
      </c>
      <c r="Y52" s="188">
        <f t="shared" si="14"/>
        <v>1.8554250344393992</v>
      </c>
      <c r="Z52" s="188">
        <f t="shared" si="14"/>
        <v>1.8436695264333693</v>
      </c>
      <c r="AA52" s="188">
        <f t="shared" si="14"/>
        <v>1.8284410640431679</v>
      </c>
      <c r="AB52" s="188">
        <f t="shared" si="14"/>
        <v>1.8096226418551118</v>
      </c>
      <c r="AC52" s="188">
        <f t="shared" si="14"/>
        <v>1.7870958939274504</v>
      </c>
      <c r="AD52" s="188">
        <f t="shared" si="14"/>
        <v>1.7607410937903694</v>
      </c>
      <c r="AE52" s="188">
        <f t="shared" si="14"/>
        <v>1.7304371544459856</v>
      </c>
    </row>
    <row r="54" spans="8:31" x14ac:dyDescent="0.2">
      <c r="H54" s="72" t="s">
        <v>576</v>
      </c>
    </row>
    <row r="55" spans="8:31" outlineLevel="1" x14ac:dyDescent="0.2">
      <c r="I55" s="80" t="s">
        <v>577</v>
      </c>
      <c r="J55" s="120"/>
      <c r="K55" s="120"/>
      <c r="L55" s="119"/>
      <c r="M55" s="119"/>
      <c r="N55" s="119"/>
      <c r="O55" s="119"/>
      <c r="P55" s="119"/>
      <c r="Q55" s="119"/>
      <c r="R55" s="119"/>
      <c r="S55" s="119"/>
      <c r="T55" s="119"/>
      <c r="U55" s="119"/>
      <c r="V55" s="119"/>
      <c r="W55" s="119"/>
      <c r="X55" s="119"/>
      <c r="Y55" s="119"/>
      <c r="Z55" s="119"/>
      <c r="AA55" s="119"/>
      <c r="AB55" s="119"/>
      <c r="AC55" s="119"/>
      <c r="AD55" s="119"/>
      <c r="AE55" s="119"/>
    </row>
    <row r="56" spans="8:31" outlineLevel="1" x14ac:dyDescent="0.2">
      <c r="I56" s="81"/>
      <c r="J56" s="184" t="s">
        <v>548</v>
      </c>
      <c r="K56" s="120"/>
      <c r="L56" s="119"/>
      <c r="M56" s="119"/>
      <c r="N56" s="119"/>
      <c r="O56" s="119"/>
      <c r="P56" s="119"/>
      <c r="Q56" s="119"/>
      <c r="R56" s="119"/>
      <c r="S56" s="119"/>
      <c r="T56" s="119"/>
      <c r="U56" s="119"/>
      <c r="V56" s="119"/>
      <c r="W56" s="119"/>
      <c r="X56" s="119"/>
      <c r="Y56" s="119"/>
      <c r="Z56" s="119"/>
      <c r="AA56" s="119"/>
      <c r="AB56" s="119"/>
      <c r="AC56" s="119"/>
      <c r="AD56" s="119"/>
      <c r="AE56" s="119"/>
    </row>
    <row r="57" spans="8:31" outlineLevel="1" x14ac:dyDescent="0.2">
      <c r="I57" s="81"/>
      <c r="J57" s="184"/>
      <c r="K57" s="120" t="s">
        <v>578</v>
      </c>
      <c r="L57" s="119"/>
      <c r="M57" s="119"/>
      <c r="N57" s="172">
        <f>INDEX(US.CPI,MATCH(2022,CPI.years,0))/INDEX(US.CPI,MATCH(N$4,CPI.years,0))*219</f>
        <v>237.80579081541362</v>
      </c>
      <c r="O57" s="172">
        <f>INDEX(US.CPI,MATCH(2022,CPI.years,0))/INDEX(US.CPI,MATCH(O$4,CPI.years,0))*215</f>
        <v>229.30731130270098</v>
      </c>
      <c r="P57" s="172">
        <f>INDEX(US.CPI,MATCH(2022,CPI.years,0))/INDEX(US.CPI,MATCH(P$4,CPI.years,0))*203</f>
        <v>213.87027985673072</v>
      </c>
      <c r="Q57" s="119"/>
      <c r="R57" s="119"/>
      <c r="S57" s="119"/>
      <c r="T57" s="119"/>
      <c r="U57" s="119"/>
      <c r="V57" s="119"/>
      <c r="W57" s="119"/>
      <c r="X57" s="119"/>
      <c r="Y57" s="119"/>
      <c r="Z57" s="119"/>
      <c r="AA57" s="119"/>
      <c r="AB57" s="119"/>
      <c r="AC57" s="119"/>
      <c r="AD57" s="119"/>
      <c r="AE57" s="119"/>
    </row>
    <row r="58" spans="8:31" outlineLevel="1" x14ac:dyDescent="0.2">
      <c r="I58" s="81"/>
      <c r="J58" s="120"/>
      <c r="K58" s="120" t="s">
        <v>564</v>
      </c>
      <c r="L58" s="119"/>
      <c r="M58" s="119"/>
      <c r="N58" s="173" cm="1">
        <f t="array" ref="N58:AE58">N200:AE200</f>
        <v>2.4476999999999998</v>
      </c>
      <c r="O58" s="173">
        <v>2.6105</v>
      </c>
      <c r="P58" s="173">
        <v>2.7754999999999996</v>
      </c>
      <c r="Q58" s="173">
        <v>2.9426999999999999</v>
      </c>
      <c r="R58" s="173">
        <v>3.1120999999999999</v>
      </c>
      <c r="S58" s="173">
        <v>3.2836999999999996</v>
      </c>
      <c r="T58" s="173">
        <v>3.4574999999999996</v>
      </c>
      <c r="U58" s="173">
        <v>3.6334999999999997</v>
      </c>
      <c r="V58" s="173">
        <v>3.8117000000000001</v>
      </c>
      <c r="W58" s="173">
        <v>3.9920999999999998</v>
      </c>
      <c r="X58" s="173">
        <v>4.1746999999999996</v>
      </c>
      <c r="Y58" s="173">
        <v>4.3595000000000006</v>
      </c>
      <c r="Z58" s="173">
        <v>4.5465</v>
      </c>
      <c r="AA58" s="173">
        <v>4.7356999999999996</v>
      </c>
      <c r="AB58" s="173">
        <v>4.9270999999999994</v>
      </c>
      <c r="AC58" s="173">
        <v>5.1206999999999994</v>
      </c>
      <c r="AD58" s="173">
        <v>5.3164999999999996</v>
      </c>
      <c r="AE58" s="173">
        <v>5.5145</v>
      </c>
    </row>
    <row r="59" spans="8:31" outlineLevel="1" x14ac:dyDescent="0.2">
      <c r="I59" s="81"/>
      <c r="J59" s="120"/>
      <c r="K59" s="120" t="s">
        <v>579</v>
      </c>
      <c r="L59" s="119"/>
      <c r="M59" s="119"/>
      <c r="N59" s="172" cm="1">
        <f t="array" ref="N59:AE59">N202:AE202</f>
        <v>87.7958</v>
      </c>
      <c r="O59" s="172">
        <v>89.283299999999997</v>
      </c>
      <c r="P59" s="172">
        <v>90.895200000000003</v>
      </c>
      <c r="Q59" s="172">
        <v>92.631500000000003</v>
      </c>
      <c r="R59" s="172">
        <v>94.492199999999997</v>
      </c>
      <c r="S59" s="172">
        <v>96.4773</v>
      </c>
      <c r="T59" s="172">
        <v>98.586800000000011</v>
      </c>
      <c r="U59" s="172">
        <v>100.8207</v>
      </c>
      <c r="V59" s="172">
        <v>103.179</v>
      </c>
      <c r="W59" s="172">
        <v>105.6617</v>
      </c>
      <c r="X59" s="172">
        <v>108.2688</v>
      </c>
      <c r="Y59" s="172">
        <v>111.00030000000001</v>
      </c>
      <c r="Z59" s="172">
        <v>113.8562</v>
      </c>
      <c r="AA59" s="172">
        <v>116.8365</v>
      </c>
      <c r="AB59" s="172">
        <v>119.94120000000001</v>
      </c>
      <c r="AC59" s="172">
        <v>123.1703</v>
      </c>
      <c r="AD59" s="172">
        <v>126.52380000000001</v>
      </c>
      <c r="AE59" s="172">
        <v>130.0017</v>
      </c>
    </row>
    <row r="60" spans="8:31" outlineLevel="1" x14ac:dyDescent="0.2">
      <c r="I60" s="81"/>
      <c r="J60" s="120"/>
      <c r="K60" s="120" t="s">
        <v>580</v>
      </c>
      <c r="L60" s="119"/>
      <c r="M60" s="119"/>
      <c r="N60" s="189">
        <f>N57*N58*1000/1000000/N59</f>
        <v>6.6298984026444069E-3</v>
      </c>
      <c r="O60" s="189">
        <f>O57*O58*1000/1000000/O59</f>
        <v>6.7045767366988107E-3</v>
      </c>
      <c r="P60" s="189">
        <f>P57*P58*1000/1000000/P59</f>
        <v>6.5305644494137874E-3</v>
      </c>
      <c r="Q60" s="119"/>
      <c r="R60" s="190">
        <f>AVERAGE($N$60:$P$60)</f>
        <v>6.621679862919002E-3</v>
      </c>
      <c r="S60" s="190">
        <f t="shared" ref="S60:AE60" si="15">AVERAGE($N$60:$P$60)</f>
        <v>6.621679862919002E-3</v>
      </c>
      <c r="T60" s="190">
        <f t="shared" si="15"/>
        <v>6.621679862919002E-3</v>
      </c>
      <c r="U60" s="190">
        <f t="shared" si="15"/>
        <v>6.621679862919002E-3</v>
      </c>
      <c r="V60" s="190">
        <f t="shared" si="15"/>
        <v>6.621679862919002E-3</v>
      </c>
      <c r="W60" s="190">
        <f t="shared" si="15"/>
        <v>6.621679862919002E-3</v>
      </c>
      <c r="X60" s="190">
        <f t="shared" si="15"/>
        <v>6.621679862919002E-3</v>
      </c>
      <c r="Y60" s="190">
        <f t="shared" si="15"/>
        <v>6.621679862919002E-3</v>
      </c>
      <c r="Z60" s="190">
        <f t="shared" si="15"/>
        <v>6.621679862919002E-3</v>
      </c>
      <c r="AA60" s="190">
        <f t="shared" si="15"/>
        <v>6.621679862919002E-3</v>
      </c>
      <c r="AB60" s="190">
        <f t="shared" si="15"/>
        <v>6.621679862919002E-3</v>
      </c>
      <c r="AC60" s="190">
        <f t="shared" si="15"/>
        <v>6.621679862919002E-3</v>
      </c>
      <c r="AD60" s="190">
        <f t="shared" si="15"/>
        <v>6.621679862919002E-3</v>
      </c>
      <c r="AE60" s="190">
        <f t="shared" si="15"/>
        <v>6.621679862919002E-3</v>
      </c>
    </row>
    <row r="61" spans="8:31" outlineLevel="1" x14ac:dyDescent="0.2">
      <c r="I61" s="138"/>
      <c r="J61" s="138"/>
      <c r="K61" s="138"/>
      <c r="L61" s="138"/>
      <c r="M61" s="138"/>
      <c r="N61" s="138"/>
      <c r="O61" s="138"/>
      <c r="P61" s="138"/>
      <c r="Q61" s="138"/>
      <c r="R61" s="138"/>
      <c r="S61" s="138"/>
      <c r="T61" s="138"/>
      <c r="U61" s="138"/>
      <c r="V61" s="138"/>
      <c r="W61" s="138"/>
      <c r="X61" s="138"/>
      <c r="Y61" s="138"/>
      <c r="Z61" s="138"/>
      <c r="AA61" s="138"/>
      <c r="AB61" s="138"/>
      <c r="AC61" s="138"/>
      <c r="AD61" s="138"/>
      <c r="AE61" s="138"/>
    </row>
    <row r="62" spans="8:31" outlineLevel="1" x14ac:dyDescent="0.2">
      <c r="I62" s="103" t="s">
        <v>355</v>
      </c>
      <c r="J62" s="104"/>
      <c r="K62" s="93"/>
      <c r="L62" s="123"/>
      <c r="M62" s="123"/>
      <c r="N62" s="123"/>
      <c r="O62" s="123"/>
      <c r="P62" s="123"/>
      <c r="Q62" s="123"/>
      <c r="R62" s="123"/>
      <c r="S62" s="123"/>
      <c r="T62" s="123"/>
      <c r="U62" s="123"/>
      <c r="V62" s="123"/>
      <c r="W62" s="123"/>
      <c r="X62" s="123"/>
      <c r="Y62" s="123"/>
      <c r="Z62" s="123"/>
      <c r="AA62" s="123"/>
      <c r="AB62" s="123"/>
      <c r="AC62" s="123"/>
      <c r="AD62" s="123"/>
      <c r="AE62" s="123"/>
    </row>
    <row r="63" spans="8:31" outlineLevel="1" x14ac:dyDescent="0.2">
      <c r="I63" s="96"/>
      <c r="J63" s="129"/>
      <c r="K63" s="129" t="s">
        <v>581</v>
      </c>
      <c r="L63" s="123"/>
      <c r="M63" s="123"/>
      <c r="N63" s="188">
        <f>N60*N59</f>
        <v>0.58207723417888779</v>
      </c>
      <c r="O63" s="188">
        <f t="shared" ref="O63:AE63" si="16">O60*O59</f>
        <v>0.59860673615570092</v>
      </c>
      <c r="P63" s="188">
        <f t="shared" si="16"/>
        <v>0.5935969617423561</v>
      </c>
      <c r="Q63" s="188"/>
      <c r="R63" s="188">
        <f t="shared" si="16"/>
        <v>0.62569709794291495</v>
      </c>
      <c r="S63" s="188">
        <f t="shared" si="16"/>
        <v>0.63884179463879542</v>
      </c>
      <c r="T63" s="188">
        <f t="shared" si="16"/>
        <v>0.6528102283096231</v>
      </c>
      <c r="U63" s="188">
        <f t="shared" si="16"/>
        <v>0.66760239895539786</v>
      </c>
      <c r="V63" s="188">
        <f t="shared" si="16"/>
        <v>0.6832183065761197</v>
      </c>
      <c r="W63" s="188">
        <f t="shared" si="16"/>
        <v>0.69965795117178864</v>
      </c>
      <c r="X63" s="188">
        <f t="shared" si="16"/>
        <v>0.71692133274240488</v>
      </c>
      <c r="Y63" s="188">
        <f t="shared" si="16"/>
        <v>0.73500845128796821</v>
      </c>
      <c r="Z63" s="188">
        <f t="shared" si="16"/>
        <v>0.75391930680847852</v>
      </c>
      <c r="AA63" s="188">
        <f t="shared" si="16"/>
        <v>0.77365389930393602</v>
      </c>
      <c r="AB63" s="188">
        <f t="shared" si="16"/>
        <v>0.79421222877434061</v>
      </c>
      <c r="AC63" s="188">
        <f t="shared" si="16"/>
        <v>0.81559429521969229</v>
      </c>
      <c r="AD63" s="188">
        <f t="shared" si="16"/>
        <v>0.83780009863999128</v>
      </c>
      <c r="AE63" s="188">
        <f t="shared" si="16"/>
        <v>0.86082963903523724</v>
      </c>
    </row>
    <row r="65" spans="2:36" x14ac:dyDescent="0.2">
      <c r="H65" s="72" t="s">
        <v>582</v>
      </c>
    </row>
    <row r="66" spans="2:36" outlineLevel="1" x14ac:dyDescent="0.2">
      <c r="H66" s="72"/>
      <c r="I66" s="80" t="s">
        <v>259</v>
      </c>
      <c r="J66" s="120"/>
      <c r="K66" s="120"/>
      <c r="L66" s="119"/>
      <c r="M66" s="119"/>
      <c r="N66" s="119"/>
      <c r="O66" s="119"/>
      <c r="P66" s="119"/>
      <c r="Q66" s="119"/>
      <c r="R66" s="119"/>
      <c r="S66" s="119"/>
      <c r="T66" s="119"/>
      <c r="U66" s="119"/>
      <c r="V66" s="119"/>
      <c r="W66" s="119"/>
      <c r="X66" s="119"/>
      <c r="Y66" s="119"/>
      <c r="Z66" s="119"/>
      <c r="AA66" s="119"/>
      <c r="AB66" s="119"/>
      <c r="AC66" s="119"/>
      <c r="AD66" s="119"/>
      <c r="AE66" s="119"/>
    </row>
    <row r="67" spans="2:36" s="45" customFormat="1" ht="12" outlineLevel="1" x14ac:dyDescent="0.15">
      <c r="B67" s="252"/>
      <c r="C67" s="253"/>
      <c r="D67" s="254"/>
      <c r="H67" s="255"/>
      <c r="I67" s="256"/>
      <c r="J67" s="257" t="s">
        <v>548</v>
      </c>
      <c r="K67" s="258"/>
      <c r="L67" s="259"/>
      <c r="M67" s="259"/>
      <c r="N67" s="259"/>
      <c r="O67" s="259"/>
      <c r="P67" s="259"/>
      <c r="Q67" s="259"/>
      <c r="R67" s="259"/>
      <c r="S67" s="259"/>
      <c r="T67" s="259"/>
      <c r="U67" s="259"/>
      <c r="V67" s="259"/>
      <c r="W67" s="259"/>
      <c r="X67" s="259"/>
      <c r="Y67" s="259"/>
      <c r="Z67" s="259"/>
      <c r="AA67" s="259"/>
      <c r="AB67" s="259"/>
      <c r="AC67" s="259"/>
      <c r="AD67" s="259"/>
      <c r="AE67" s="259"/>
      <c r="AF67" s="260"/>
      <c r="AG67" s="260"/>
      <c r="AH67" s="260"/>
      <c r="AI67" s="260"/>
      <c r="AJ67" s="260"/>
    </row>
    <row r="68" spans="2:36" s="45" customFormat="1" ht="14" outlineLevel="1" x14ac:dyDescent="0.2">
      <c r="B68" s="252"/>
      <c r="C68" s="253"/>
      <c r="D68" s="254"/>
      <c r="H68" s="255"/>
      <c r="I68" s="256"/>
      <c r="J68" s="120"/>
      <c r="K68" s="258"/>
      <c r="L68" s="259"/>
      <c r="M68" s="259"/>
      <c r="N68" s="259"/>
      <c r="O68" s="259"/>
      <c r="P68" s="259"/>
      <c r="Q68" s="262" t="s">
        <v>583</v>
      </c>
      <c r="R68" s="245" t="s">
        <v>584</v>
      </c>
      <c r="S68" s="245" t="s">
        <v>446</v>
      </c>
      <c r="T68" s="245" t="s">
        <v>498</v>
      </c>
      <c r="U68" s="265" t="s">
        <v>9</v>
      </c>
      <c r="V68" s="245" t="s">
        <v>446</v>
      </c>
      <c r="W68" s="245" t="s">
        <v>498</v>
      </c>
      <c r="X68" s="265" t="s">
        <v>9</v>
      </c>
      <c r="Y68" s="259"/>
      <c r="Z68" s="259"/>
      <c r="AA68" s="259"/>
      <c r="AB68" s="259"/>
      <c r="AC68" s="259"/>
      <c r="AD68" s="259"/>
      <c r="AE68" s="259"/>
      <c r="AF68" s="260"/>
      <c r="AG68" s="260"/>
      <c r="AH68" s="260"/>
      <c r="AI68" s="260"/>
      <c r="AJ68" s="260"/>
    </row>
    <row r="69" spans="2:36" outlineLevel="1" x14ac:dyDescent="0.2">
      <c r="E69" s="13"/>
      <c r="I69" s="81"/>
      <c r="J69" s="120"/>
      <c r="K69" s="120" t="s">
        <v>585</v>
      </c>
      <c r="L69" s="183"/>
      <c r="M69" s="183"/>
      <c r="N69" s="183"/>
      <c r="O69" s="119"/>
      <c r="P69" s="183">
        <f>INDEX(US.CPI,MATCH(2022,CPI.years,0))/INDEX(US.CPI,MATCH(P$4,CPI.years,0))*23</f>
        <v>24.231608062585252</v>
      </c>
      <c r="Q69" s="192">
        <f>$O$97</f>
        <v>0.85250000000000004</v>
      </c>
      <c r="R69" s="264" cm="1">
        <f t="array" ref="R69:U69">M93:P93</f>
        <v>58.045000000000002</v>
      </c>
      <c r="S69" s="264">
        <v>43.27</v>
      </c>
      <c r="T69" s="264">
        <v>48.08</v>
      </c>
      <c r="U69" s="264">
        <v>43.27</v>
      </c>
      <c r="V69" s="121">
        <f>(S69*$Q69*$P69/$R69+(1-$Q69)*$P69)/$P69</f>
        <v>0.78300133517098802</v>
      </c>
      <c r="W69" s="121">
        <f>(T69*$Q69*$P69/$R69+(1-$Q69)*$P69)/$P69</f>
        <v>0.85364523214747168</v>
      </c>
      <c r="X69" s="121">
        <f t="shared" ref="V69:X74" si="17">(U69*$Q69*$P69/$R69+(1-$Q69)*$P69)/$P69</f>
        <v>0.78300133517098802</v>
      </c>
      <c r="Y69" s="119"/>
      <c r="Z69" s="119"/>
      <c r="AA69" s="119"/>
      <c r="AB69" s="119"/>
      <c r="AC69" s="119"/>
      <c r="AD69" s="119"/>
      <c r="AE69" s="119"/>
    </row>
    <row r="70" spans="2:36" outlineLevel="1" x14ac:dyDescent="0.2">
      <c r="I70" s="81"/>
      <c r="J70" s="120"/>
      <c r="K70" s="120" t="s">
        <v>586</v>
      </c>
      <c r="L70" s="183"/>
      <c r="M70" s="183"/>
      <c r="N70" s="183"/>
      <c r="O70" s="119"/>
      <c r="P70" s="183">
        <f>INDEX(US.CPI,MATCH(2022,CPI.years,0))/INDEX(US.CPI,MATCH(P$4,CPI.years,0))*10</f>
        <v>10.535481766341414</v>
      </c>
      <c r="Q70" s="192">
        <f>O126</f>
        <v>0.875</v>
      </c>
      <c r="R70" s="264" cm="1">
        <f t="array" ref="R70:U70">M90:P90</f>
        <v>26.765104166666671</v>
      </c>
      <c r="S70" s="264">
        <v>30</v>
      </c>
      <c r="T70" s="264">
        <v>32</v>
      </c>
      <c r="U70" s="264">
        <v>29</v>
      </c>
      <c r="V70" s="121">
        <f t="shared" si="17"/>
        <v>1.1057546362061921</v>
      </c>
      <c r="W70" s="121">
        <f t="shared" si="17"/>
        <v>1.171138278619938</v>
      </c>
      <c r="X70" s="121">
        <f t="shared" si="17"/>
        <v>1.0730628149993189</v>
      </c>
      <c r="Y70" s="119"/>
      <c r="Z70" s="119"/>
      <c r="AA70" s="119"/>
      <c r="AB70" s="119"/>
      <c r="AC70" s="119"/>
      <c r="AD70" s="119"/>
      <c r="AE70" s="119"/>
    </row>
    <row r="71" spans="2:36" outlineLevel="1" x14ac:dyDescent="0.2">
      <c r="I71" s="81"/>
      <c r="J71" s="120"/>
      <c r="K71" s="120" t="s">
        <v>587</v>
      </c>
      <c r="L71" s="183"/>
      <c r="M71" s="183"/>
      <c r="N71" s="183"/>
      <c r="O71" s="119"/>
      <c r="P71" s="183">
        <f>INDEX(US.CPI,MATCH(2022,CPI.years,0))/INDEX(US.CPI,MATCH(P$4,CPI.years,0))*75</f>
        <v>79.016113247560611</v>
      </c>
      <c r="Q71" s="192">
        <f>O145</f>
        <v>0.2</v>
      </c>
      <c r="R71" s="264" cm="1">
        <f t="array" ref="R71:U71">M89:P89</f>
        <v>19.709895833333334</v>
      </c>
      <c r="S71" s="264">
        <v>21</v>
      </c>
      <c r="T71" s="264">
        <v>20</v>
      </c>
      <c r="U71" s="264">
        <v>22</v>
      </c>
      <c r="V71" s="121">
        <f t="shared" si="17"/>
        <v>1.0130909283090663</v>
      </c>
      <c r="W71" s="121">
        <f t="shared" si="17"/>
        <v>1.0029437412467299</v>
      </c>
      <c r="X71" s="121">
        <f t="shared" si="17"/>
        <v>1.023238115371403</v>
      </c>
      <c r="Y71" s="119"/>
      <c r="Z71" s="119"/>
      <c r="AA71" s="119"/>
      <c r="AB71" s="119"/>
      <c r="AC71" s="119"/>
      <c r="AD71" s="119"/>
      <c r="AE71" s="119"/>
    </row>
    <row r="72" spans="2:36" outlineLevel="1" x14ac:dyDescent="0.2">
      <c r="I72" s="81"/>
      <c r="J72" s="120"/>
      <c r="K72" s="120" t="s">
        <v>588</v>
      </c>
      <c r="L72" s="183"/>
      <c r="M72" s="183"/>
      <c r="N72" s="183"/>
      <c r="O72" s="119"/>
      <c r="P72" s="183">
        <f>INDEX(US.CPI,MATCH(2022,CPI.years,0))/INDEX(US.CPI,MATCH(P$4,CPI.years,0))*40</f>
        <v>42.141927065365657</v>
      </c>
      <c r="Q72" s="121">
        <f>O140</f>
        <v>0</v>
      </c>
      <c r="R72" s="264">
        <v>100</v>
      </c>
      <c r="S72" s="264">
        <v>100</v>
      </c>
      <c r="T72" s="264">
        <v>100</v>
      </c>
      <c r="U72" s="264">
        <v>100</v>
      </c>
      <c r="V72" s="121">
        <f t="shared" si="17"/>
        <v>1</v>
      </c>
      <c r="W72" s="121">
        <f t="shared" si="17"/>
        <v>1</v>
      </c>
      <c r="X72" s="121">
        <f t="shared" si="17"/>
        <v>1</v>
      </c>
      <c r="Y72" s="119"/>
      <c r="Z72" s="119"/>
      <c r="AA72" s="119"/>
      <c r="AB72" s="119"/>
      <c r="AC72" s="119"/>
      <c r="AD72" s="119"/>
      <c r="AE72" s="119"/>
    </row>
    <row r="73" spans="2:36" outlineLevel="1" x14ac:dyDescent="0.2">
      <c r="I73" s="81"/>
      <c r="J73" s="120"/>
      <c r="K73" s="120" t="s">
        <v>589</v>
      </c>
      <c r="L73" s="183"/>
      <c r="M73" s="183"/>
      <c r="N73" s="183"/>
      <c r="O73" s="119"/>
      <c r="P73" s="183">
        <f>INDEX(US.CPI,MATCH(2022,CPI.years,0))/INDEX(US.CPI,MATCH(P$4,CPI.years,0))*41</f>
        <v>43.195475241999802</v>
      </c>
      <c r="Q73" s="192">
        <f>O141</f>
        <v>0.32500000000000001</v>
      </c>
      <c r="R73" s="264" cm="1">
        <f t="array" ref="R73:U73">M91:P91</f>
        <v>31.938020833333333</v>
      </c>
      <c r="S73" s="264">
        <v>34</v>
      </c>
      <c r="T73" s="264">
        <v>40</v>
      </c>
      <c r="U73" s="264">
        <v>32.5</v>
      </c>
      <c r="V73" s="121">
        <f t="shared" si="17"/>
        <v>1.0209826160695357</v>
      </c>
      <c r="W73" s="121">
        <f t="shared" si="17"/>
        <v>1.0820383718465127</v>
      </c>
      <c r="X73" s="121">
        <f t="shared" si="17"/>
        <v>1.0057186771252917</v>
      </c>
      <c r="Y73" s="119"/>
      <c r="Z73" s="119"/>
      <c r="AA73" s="119"/>
      <c r="AB73" s="119"/>
      <c r="AC73" s="119"/>
      <c r="AD73" s="119"/>
      <c r="AE73" s="119"/>
    </row>
    <row r="74" spans="2:36" outlineLevel="1" x14ac:dyDescent="0.2">
      <c r="I74" s="81"/>
      <c r="J74" s="120"/>
      <c r="K74" s="120" t="s">
        <v>590</v>
      </c>
      <c r="L74" s="183"/>
      <c r="M74" s="183"/>
      <c r="N74" s="183"/>
      <c r="O74" s="119"/>
      <c r="P74" s="183">
        <f>INDEX(US.CPI,MATCH(2022,CPI.years,0))/INDEX(US.CPI,MATCH(P$4,CPI.years,0))*131</f>
        <v>138.01481113907252</v>
      </c>
      <c r="Q74" s="192">
        <v>0</v>
      </c>
      <c r="R74" s="264" cm="1">
        <f t="array" ref="R74:U74">M92:P92</f>
        <v>33.71875</v>
      </c>
      <c r="S74" s="264">
        <v>37</v>
      </c>
      <c r="T74" s="264">
        <v>41</v>
      </c>
      <c r="U74" s="264">
        <v>36</v>
      </c>
      <c r="V74" s="121">
        <f t="shared" si="17"/>
        <v>1</v>
      </c>
      <c r="W74" s="121">
        <f t="shared" si="17"/>
        <v>1</v>
      </c>
      <c r="X74" s="121">
        <f t="shared" si="17"/>
        <v>1</v>
      </c>
      <c r="Y74" s="119"/>
      <c r="Z74" s="119"/>
      <c r="AA74" s="119"/>
      <c r="AB74" s="119"/>
      <c r="AC74" s="119"/>
      <c r="AD74" s="119"/>
      <c r="AE74" s="119"/>
    </row>
    <row r="75" spans="2:36" outlineLevel="1" x14ac:dyDescent="0.2">
      <c r="I75" s="81"/>
      <c r="J75" s="120"/>
      <c r="K75" s="120" t="s">
        <v>591</v>
      </c>
      <c r="L75" s="119"/>
      <c r="M75" s="119"/>
      <c r="N75" s="119"/>
      <c r="O75" s="119"/>
      <c r="P75" s="183">
        <f>SUM(P69:P74)</f>
        <v>337.1354165229252</v>
      </c>
      <c r="Q75" s="119"/>
      <c r="R75" s="264"/>
      <c r="S75" s="264"/>
      <c r="T75" s="264"/>
      <c r="U75" s="264"/>
      <c r="V75" s="119"/>
      <c r="W75" s="119"/>
      <c r="X75" s="119"/>
      <c r="Y75" s="119"/>
      <c r="Z75" s="119"/>
      <c r="AA75" s="119"/>
      <c r="AB75" s="119"/>
      <c r="AC75" s="119"/>
      <c r="AD75" s="119"/>
      <c r="AE75" s="119"/>
    </row>
    <row r="76" spans="2:36" outlineLevel="1" x14ac:dyDescent="0.2">
      <c r="I76" s="81"/>
      <c r="J76" s="120"/>
      <c r="K76" s="120" t="s">
        <v>592</v>
      </c>
      <c r="L76" s="119"/>
      <c r="M76" s="119"/>
      <c r="N76" s="119"/>
      <c r="O76" s="119"/>
      <c r="P76" s="183">
        <f>P75*P190*1000/1000000</f>
        <v>0.94397916626419043</v>
      </c>
      <c r="Q76" s="119"/>
      <c r="R76" s="264"/>
      <c r="S76" s="264"/>
      <c r="T76" s="264"/>
      <c r="U76" s="264"/>
      <c r="V76" s="119"/>
      <c r="W76" s="119"/>
      <c r="X76" s="119"/>
      <c r="Y76" s="119"/>
      <c r="Z76" s="119"/>
      <c r="AA76" s="119"/>
      <c r="AB76" s="119"/>
      <c r="AC76" s="119"/>
      <c r="AD76" s="119"/>
      <c r="AE76" s="119"/>
    </row>
    <row r="77" spans="2:36" outlineLevel="1" x14ac:dyDescent="0.2">
      <c r="I77" s="81"/>
      <c r="J77" s="84"/>
      <c r="K77" s="120"/>
      <c r="L77" s="119"/>
      <c r="M77" s="119"/>
      <c r="N77" s="119"/>
      <c r="O77" s="119"/>
      <c r="P77" s="183"/>
      <c r="Q77" s="119"/>
      <c r="R77" s="119"/>
      <c r="S77" s="119"/>
      <c r="T77" s="119"/>
      <c r="U77" s="119"/>
      <c r="V77" s="119"/>
      <c r="W77" s="119"/>
      <c r="X77" s="119"/>
      <c r="Y77" s="119"/>
      <c r="Z77" s="119"/>
      <c r="AA77" s="119"/>
      <c r="AB77" s="119"/>
      <c r="AC77" s="119"/>
      <c r="AD77" s="119"/>
      <c r="AE77" s="119"/>
    </row>
    <row r="78" spans="2:36" outlineLevel="1" x14ac:dyDescent="0.2">
      <c r="I78" s="81"/>
      <c r="J78" s="84" t="s">
        <v>593</v>
      </c>
      <c r="K78" s="120"/>
      <c r="L78" s="119"/>
      <c r="M78" s="119"/>
      <c r="N78" s="119"/>
      <c r="O78" s="119"/>
      <c r="P78" s="183"/>
      <c r="Q78" s="119"/>
      <c r="R78" s="119"/>
      <c r="S78" s="119"/>
      <c r="T78" s="119"/>
      <c r="U78" s="119"/>
      <c r="V78" s="119"/>
      <c r="W78" s="119"/>
      <c r="X78" s="119"/>
      <c r="Y78" s="119"/>
      <c r="Z78" s="119"/>
      <c r="AA78" s="119"/>
      <c r="AB78" s="119"/>
      <c r="AC78" s="119"/>
      <c r="AD78" s="119"/>
      <c r="AE78" s="119"/>
    </row>
    <row r="79" spans="2:36" outlineLevel="1" x14ac:dyDescent="0.2">
      <c r="I79" s="81"/>
      <c r="J79" s="84" t="s">
        <v>594</v>
      </c>
      <c r="K79" s="120"/>
      <c r="L79" s="119"/>
      <c r="M79" s="119"/>
      <c r="N79" s="119"/>
      <c r="O79" s="119"/>
      <c r="P79" s="183"/>
      <c r="Q79" s="119"/>
      <c r="R79" s="119"/>
      <c r="S79" s="119"/>
      <c r="T79" s="119"/>
      <c r="U79" s="119"/>
      <c r="V79" s="119"/>
      <c r="W79" s="119"/>
      <c r="X79" s="119"/>
      <c r="Y79" s="119"/>
      <c r="Z79" s="119"/>
      <c r="AA79" s="119"/>
      <c r="AB79" s="119"/>
      <c r="AC79" s="119"/>
      <c r="AD79" s="119"/>
      <c r="AE79" s="119"/>
    </row>
    <row r="80" spans="2:36" outlineLevel="1" x14ac:dyDescent="0.2">
      <c r="I80" s="81"/>
      <c r="J80" s="84" t="s">
        <v>595</v>
      </c>
      <c r="K80" s="120"/>
      <c r="L80" s="119"/>
      <c r="M80" s="119"/>
      <c r="N80" s="119"/>
      <c r="O80" s="119"/>
      <c r="P80" s="183"/>
      <c r="Q80" s="119"/>
      <c r="R80" s="119"/>
      <c r="S80" s="119"/>
      <c r="T80" s="119"/>
      <c r="U80" s="119"/>
      <c r="V80" s="119"/>
      <c r="W80" s="119"/>
      <c r="X80" s="119"/>
      <c r="Y80" s="119"/>
      <c r="Z80" s="119"/>
      <c r="AA80" s="119"/>
      <c r="AB80" s="119"/>
      <c r="AC80" s="119"/>
      <c r="AD80" s="119"/>
      <c r="AE80" s="119"/>
    </row>
    <row r="81" spans="7:31" outlineLevel="1" x14ac:dyDescent="0.2">
      <c r="I81" s="81"/>
      <c r="J81" s="84" t="s">
        <v>596</v>
      </c>
      <c r="K81" s="120"/>
      <c r="L81" s="119"/>
      <c r="M81" s="119"/>
      <c r="N81" s="119"/>
      <c r="O81" s="119"/>
      <c r="P81" s="183"/>
      <c r="Q81" s="119"/>
      <c r="R81" s="119"/>
      <c r="S81" s="119"/>
      <c r="T81" s="119"/>
      <c r="U81" s="119"/>
      <c r="V81" s="119"/>
      <c r="W81" s="119"/>
      <c r="X81" s="119"/>
      <c r="Y81" s="119"/>
      <c r="Z81" s="119"/>
      <c r="AA81" s="119"/>
      <c r="AB81" s="119"/>
      <c r="AC81" s="119"/>
      <c r="AD81" s="119"/>
      <c r="AE81" s="119"/>
    </row>
    <row r="82" spans="7:31" outlineLevel="1" x14ac:dyDescent="0.2">
      <c r="I82" s="81"/>
      <c r="J82" s="84"/>
      <c r="K82" s="120"/>
      <c r="L82" s="119"/>
      <c r="M82" s="119"/>
      <c r="N82" s="119"/>
      <c r="O82" s="119"/>
      <c r="P82" s="183"/>
      <c r="Q82" s="119"/>
      <c r="R82" s="119"/>
      <c r="S82" s="119"/>
      <c r="T82" s="119"/>
      <c r="U82" s="119"/>
      <c r="V82" s="119"/>
      <c r="W82" s="119"/>
      <c r="X82" s="119"/>
      <c r="Y82" s="119"/>
      <c r="Z82" s="119"/>
      <c r="AA82" s="119"/>
      <c r="AB82" s="119"/>
      <c r="AC82" s="119"/>
      <c r="AD82" s="119"/>
      <c r="AE82" s="119"/>
    </row>
    <row r="83" spans="7:31" outlineLevel="1" x14ac:dyDescent="0.2">
      <c r="I83" s="81"/>
      <c r="J83" s="84"/>
      <c r="K83" s="120" t="s">
        <v>597</v>
      </c>
      <c r="L83" s="119"/>
      <c r="M83" s="119"/>
      <c r="N83" s="119"/>
      <c r="O83" s="119"/>
      <c r="P83" s="183"/>
      <c r="Q83" s="119"/>
      <c r="R83" s="192">
        <v>0.02</v>
      </c>
      <c r="S83" s="119"/>
      <c r="T83" s="119"/>
      <c r="U83" s="119"/>
      <c r="V83" s="119"/>
      <c r="W83" s="119"/>
      <c r="X83" s="119"/>
      <c r="Y83" s="119"/>
      <c r="Z83" s="119"/>
      <c r="AA83" s="119"/>
      <c r="AB83" s="119"/>
      <c r="AC83" s="119"/>
      <c r="AD83" s="119"/>
      <c r="AE83" s="119"/>
    </row>
    <row r="84" spans="7:31" outlineLevel="1" x14ac:dyDescent="0.2">
      <c r="I84" s="81"/>
      <c r="J84" s="84"/>
      <c r="K84" s="120"/>
      <c r="L84" s="119"/>
      <c r="M84" s="119"/>
      <c r="N84" s="119"/>
      <c r="O84" s="119"/>
      <c r="P84" s="183"/>
      <c r="Q84" s="119"/>
      <c r="R84" s="119"/>
      <c r="S84" s="119"/>
      <c r="T84" s="119"/>
      <c r="U84" s="119"/>
      <c r="V84" s="119"/>
      <c r="W84" s="119"/>
      <c r="X84" s="119"/>
      <c r="Y84" s="119"/>
      <c r="Z84" s="119"/>
      <c r="AA84" s="119"/>
      <c r="AB84" s="119"/>
      <c r="AC84" s="119"/>
      <c r="AD84" s="119"/>
      <c r="AE84" s="119"/>
    </row>
    <row r="85" spans="7:31" outlineLevel="1" x14ac:dyDescent="0.2">
      <c r="I85" s="81"/>
      <c r="J85" s="84"/>
      <c r="K85" s="120"/>
      <c r="L85" s="119"/>
      <c r="M85" s="119"/>
      <c r="N85" s="119"/>
      <c r="O85" s="119"/>
      <c r="P85" s="183"/>
      <c r="Q85" s="119"/>
      <c r="R85" s="119"/>
      <c r="S85" s="119"/>
      <c r="T85" s="119"/>
      <c r="U85" s="119"/>
      <c r="V85" s="119"/>
      <c r="W85" s="119"/>
      <c r="X85" s="119"/>
      <c r="Y85" s="119"/>
      <c r="Z85" s="119"/>
      <c r="AA85" s="119"/>
      <c r="AB85" s="119"/>
      <c r="AC85" s="119"/>
      <c r="AD85" s="119"/>
      <c r="AE85" s="119"/>
    </row>
    <row r="86" spans="7:31" outlineLevel="1" x14ac:dyDescent="0.2">
      <c r="I86" s="81"/>
      <c r="J86" s="84"/>
      <c r="K86" s="120"/>
      <c r="L86" s="119"/>
      <c r="M86" s="119"/>
      <c r="N86" s="119"/>
      <c r="O86" s="119"/>
      <c r="P86" s="183"/>
      <c r="Q86" s="119"/>
      <c r="R86" s="119"/>
      <c r="S86" s="119"/>
      <c r="T86" s="119"/>
      <c r="U86" s="119"/>
      <c r="V86" s="119"/>
      <c r="W86" s="119"/>
      <c r="X86" s="119"/>
      <c r="Y86" s="119"/>
      <c r="Z86" s="119"/>
      <c r="AA86" s="119"/>
      <c r="AB86" s="119"/>
      <c r="AC86" s="119"/>
      <c r="AD86" s="119"/>
      <c r="AE86" s="119"/>
    </row>
    <row r="87" spans="7:31" outlineLevel="1" x14ac:dyDescent="0.2">
      <c r="I87" s="81"/>
      <c r="J87" s="84"/>
      <c r="K87" s="120"/>
      <c r="L87" s="119"/>
      <c r="M87" s="334" t="s">
        <v>598</v>
      </c>
      <c r="N87" s="334"/>
      <c r="O87" s="334"/>
      <c r="P87" s="334"/>
      <c r="Q87" s="119"/>
      <c r="R87" s="119"/>
      <c r="S87" s="119"/>
      <c r="T87" s="119"/>
      <c r="U87" s="119"/>
      <c r="V87" s="119"/>
      <c r="W87" s="119"/>
      <c r="X87" s="119"/>
      <c r="Y87" s="119"/>
      <c r="Z87" s="119"/>
      <c r="AA87" s="119"/>
      <c r="AB87" s="119"/>
      <c r="AC87" s="119"/>
      <c r="AD87" s="119"/>
      <c r="AE87" s="119"/>
    </row>
    <row r="88" spans="7:31" outlineLevel="1" x14ac:dyDescent="0.2">
      <c r="I88" s="81"/>
      <c r="J88" s="120"/>
      <c r="K88" s="114" t="s">
        <v>599</v>
      </c>
      <c r="L88" s="245" t="s">
        <v>599</v>
      </c>
      <c r="M88" s="245" t="s">
        <v>584</v>
      </c>
      <c r="N88" s="245" t="s">
        <v>446</v>
      </c>
      <c r="O88" s="245" t="s">
        <v>498</v>
      </c>
      <c r="P88" s="265" t="s">
        <v>9</v>
      </c>
      <c r="Q88" s="119"/>
      <c r="R88" s="119"/>
      <c r="S88" s="119"/>
      <c r="T88" s="119"/>
      <c r="U88" s="119"/>
      <c r="V88" s="119"/>
      <c r="W88" s="119"/>
      <c r="X88" s="119"/>
      <c r="Y88" s="119"/>
      <c r="Z88" s="119"/>
      <c r="AA88" s="119"/>
      <c r="AB88" s="119"/>
      <c r="AC88" s="119"/>
      <c r="AD88" s="119"/>
      <c r="AE88" s="119"/>
    </row>
    <row r="89" spans="7:31" outlineLevel="1" x14ac:dyDescent="0.2">
      <c r="I89" s="81"/>
      <c r="J89" s="120"/>
      <c r="K89" s="120" t="s">
        <v>600</v>
      </c>
      <c r="L89" s="263">
        <f>29110/(40*48)</f>
        <v>15.161458333333334</v>
      </c>
      <c r="M89" s="264">
        <f>L89*USD_to_CAD</f>
        <v>19.709895833333334</v>
      </c>
      <c r="N89" s="264">
        <v>21</v>
      </c>
      <c r="O89" s="264">
        <v>20</v>
      </c>
      <c r="P89" s="264">
        <v>22</v>
      </c>
      <c r="Q89" s="119"/>
      <c r="R89" s="119"/>
      <c r="S89" s="119"/>
      <c r="T89" s="119"/>
      <c r="U89" s="119"/>
      <c r="V89" s="119"/>
      <c r="W89" s="119"/>
      <c r="X89" s="119"/>
      <c r="Y89" s="119"/>
      <c r="Z89" s="119"/>
      <c r="AA89" s="119"/>
      <c r="AB89" s="119"/>
      <c r="AC89" s="119"/>
      <c r="AD89" s="119"/>
      <c r="AE89" s="119"/>
    </row>
    <row r="90" spans="7:31" outlineLevel="1" x14ac:dyDescent="0.2">
      <c r="I90" s="81"/>
      <c r="J90" s="120"/>
      <c r="K90" s="120" t="s">
        <v>601</v>
      </c>
      <c r="L90" s="263">
        <f>39530/(40*48)</f>
        <v>20.588541666666668</v>
      </c>
      <c r="M90" s="264">
        <f>L90*USD_to_CAD</f>
        <v>26.765104166666671</v>
      </c>
      <c r="N90" s="264">
        <v>30</v>
      </c>
      <c r="O90" s="264">
        <v>32</v>
      </c>
      <c r="P90" s="264">
        <v>29</v>
      </c>
      <c r="Q90" s="119"/>
      <c r="R90" s="119"/>
      <c r="S90" s="119"/>
      <c r="T90" s="119"/>
      <c r="U90" s="119"/>
      <c r="V90" s="119"/>
      <c r="W90" s="119"/>
      <c r="X90" s="119"/>
      <c r="Y90" s="119"/>
      <c r="Z90" s="119"/>
      <c r="AA90" s="119"/>
      <c r="AB90" s="119"/>
      <c r="AC90" s="119"/>
      <c r="AD90" s="119"/>
      <c r="AE90" s="119"/>
    </row>
    <row r="91" spans="7:31" outlineLevel="1" x14ac:dyDescent="0.2">
      <c r="I91" s="81"/>
      <c r="J91" s="120"/>
      <c r="K91" s="120" t="s">
        <v>602</v>
      </c>
      <c r="L91" s="263">
        <f>47170/(40*48)</f>
        <v>24.567708333333332</v>
      </c>
      <c r="M91" s="264">
        <f>L91*USD_to_CAD</f>
        <v>31.938020833333333</v>
      </c>
      <c r="N91" s="264">
        <v>34</v>
      </c>
      <c r="O91" s="264">
        <v>40</v>
      </c>
      <c r="P91" s="264">
        <v>32.5</v>
      </c>
      <c r="Q91" s="119"/>
      <c r="R91" s="119"/>
      <c r="S91" s="119"/>
      <c r="T91" s="119"/>
      <c r="U91" s="119"/>
      <c r="V91" s="119"/>
      <c r="W91" s="119"/>
      <c r="X91" s="119"/>
      <c r="Y91" s="119"/>
      <c r="Z91" s="119"/>
      <c r="AA91" s="119"/>
      <c r="AB91" s="119"/>
      <c r="AC91" s="119"/>
      <c r="AD91" s="119"/>
      <c r="AE91" s="119"/>
    </row>
    <row r="92" spans="7:31" outlineLevel="1" x14ac:dyDescent="0.2">
      <c r="G92" s="313"/>
      <c r="H92" s="314"/>
      <c r="I92" s="81"/>
      <c r="J92" s="120"/>
      <c r="K92" s="120" t="s">
        <v>603</v>
      </c>
      <c r="L92" s="263">
        <f>49800/(40*48)</f>
        <v>25.9375</v>
      </c>
      <c r="M92" s="264">
        <f>L92*USD_to_CAD</f>
        <v>33.71875</v>
      </c>
      <c r="N92" s="264">
        <v>37</v>
      </c>
      <c r="O92" s="264">
        <v>41</v>
      </c>
      <c r="P92" s="264">
        <v>36</v>
      </c>
      <c r="Q92" s="119"/>
      <c r="R92" s="119"/>
      <c r="S92" s="119"/>
      <c r="T92" s="119"/>
      <c r="U92" s="119"/>
      <c r="V92" s="119"/>
      <c r="W92" s="119"/>
      <c r="X92" s="119"/>
      <c r="Y92" s="119"/>
      <c r="Z92" s="119"/>
      <c r="AA92" s="119"/>
      <c r="AB92" s="119"/>
      <c r="AC92" s="119"/>
      <c r="AD92" s="119"/>
      <c r="AE92" s="119"/>
    </row>
    <row r="93" spans="7:31" outlineLevel="1" x14ac:dyDescent="0.2">
      <c r="G93" s="313"/>
      <c r="H93" s="314"/>
      <c r="I93" s="81"/>
      <c r="J93" s="120"/>
      <c r="K93" s="120" t="s">
        <v>604</v>
      </c>
      <c r="L93" s="263"/>
      <c r="M93" s="264">
        <f>44.65*USD_to_CAD</f>
        <v>58.045000000000002</v>
      </c>
      <c r="N93" s="264">
        <v>43.27</v>
      </c>
      <c r="O93" s="264">
        <v>48.08</v>
      </c>
      <c r="P93" s="264">
        <v>43.27</v>
      </c>
      <c r="Q93" s="119"/>
      <c r="R93" s="119"/>
      <c r="S93" s="119"/>
      <c r="T93" s="119"/>
      <c r="U93" s="119"/>
      <c r="V93" s="119"/>
      <c r="W93" s="119"/>
      <c r="X93" s="119"/>
      <c r="Y93" s="119"/>
      <c r="Z93" s="119"/>
      <c r="AA93" s="119"/>
      <c r="AB93" s="119"/>
      <c r="AC93" s="119"/>
      <c r="AD93" s="119"/>
      <c r="AE93" s="119"/>
    </row>
    <row r="94" spans="7:31" outlineLevel="1" x14ac:dyDescent="0.2">
      <c r="G94" s="313"/>
      <c r="H94" s="314"/>
      <c r="I94" s="81"/>
      <c r="J94" s="120"/>
      <c r="K94" s="120"/>
      <c r="L94" s="263"/>
      <c r="M94" s="119"/>
      <c r="N94" s="119"/>
      <c r="O94" s="119"/>
      <c r="P94" s="183"/>
      <c r="Q94" s="119"/>
      <c r="R94" s="119"/>
      <c r="S94" s="119"/>
      <c r="T94" s="119"/>
      <c r="U94" s="119"/>
      <c r="V94" s="119"/>
      <c r="W94" s="119"/>
      <c r="X94" s="119"/>
      <c r="Y94" s="119"/>
      <c r="Z94" s="119"/>
      <c r="AA94" s="119"/>
      <c r="AB94" s="119"/>
      <c r="AC94" s="119"/>
      <c r="AD94" s="119"/>
      <c r="AE94" s="119"/>
    </row>
    <row r="95" spans="7:31" outlineLevel="1" x14ac:dyDescent="0.2">
      <c r="G95" s="313"/>
      <c r="H95" s="314"/>
      <c r="I95" s="81"/>
      <c r="J95" s="266" t="s">
        <v>605</v>
      </c>
      <c r="K95" s="120"/>
      <c r="L95" s="263"/>
      <c r="M95" s="119"/>
      <c r="N95" s="119"/>
      <c r="O95" s="119"/>
      <c r="P95" s="183"/>
      <c r="Q95" s="119"/>
      <c r="R95" s="119"/>
      <c r="S95" s="119"/>
      <c r="T95" s="119"/>
      <c r="U95" s="119"/>
      <c r="V95" s="119"/>
      <c r="W95" s="119"/>
      <c r="X95" s="119"/>
      <c r="Y95" s="119"/>
      <c r="Z95" s="119"/>
      <c r="AA95" s="119"/>
      <c r="AB95" s="119"/>
      <c r="AC95" s="119"/>
      <c r="AD95" s="119"/>
      <c r="AE95" s="119"/>
    </row>
    <row r="96" spans="7:31" outlineLevel="1" x14ac:dyDescent="0.2">
      <c r="G96" s="313"/>
      <c r="H96" s="314"/>
      <c r="I96" s="81"/>
      <c r="J96" s="120"/>
      <c r="K96" s="120"/>
      <c r="L96" s="245" t="s">
        <v>606</v>
      </c>
      <c r="M96" s="245" t="s">
        <v>607</v>
      </c>
      <c r="N96" s="245" t="s">
        <v>608</v>
      </c>
      <c r="O96" s="119"/>
      <c r="P96" s="183"/>
      <c r="Q96" s="119"/>
      <c r="R96" s="119"/>
      <c r="S96" s="119"/>
      <c r="T96" s="119"/>
      <c r="U96" s="119"/>
      <c r="V96" s="119"/>
      <c r="W96" s="119"/>
      <c r="X96" s="119"/>
      <c r="Y96" s="119"/>
      <c r="Z96" s="119"/>
      <c r="AA96" s="119"/>
      <c r="AB96" s="119"/>
      <c r="AC96" s="119"/>
      <c r="AD96" s="119"/>
      <c r="AE96" s="119"/>
    </row>
    <row r="97" spans="7:31" outlineLevel="1" x14ac:dyDescent="0.2">
      <c r="G97" s="313"/>
      <c r="H97" s="314"/>
      <c r="I97" s="114" t="s">
        <v>585</v>
      </c>
      <c r="J97" s="120"/>
      <c r="K97" s="120"/>
      <c r="L97" s="192">
        <f>SUM(L98:L121)</f>
        <v>0.99999999999999989</v>
      </c>
      <c r="M97" s="119"/>
      <c r="N97" s="119"/>
      <c r="O97" s="261">
        <f>SUM(N98:N121)</f>
        <v>0.85250000000000004</v>
      </c>
      <c r="P97" s="183"/>
      <c r="Q97" s="119"/>
      <c r="R97" s="119"/>
      <c r="S97" s="119"/>
      <c r="T97" s="119"/>
      <c r="U97" s="119"/>
      <c r="V97" s="119"/>
      <c r="W97" s="119"/>
      <c r="X97" s="119"/>
      <c r="Y97" s="119"/>
      <c r="Z97" s="119"/>
      <c r="AA97" s="119"/>
      <c r="AB97" s="119"/>
      <c r="AC97" s="119"/>
      <c r="AD97" s="119"/>
      <c r="AE97" s="119"/>
    </row>
    <row r="98" spans="7:31" outlineLevel="1" x14ac:dyDescent="0.2">
      <c r="G98" s="313"/>
      <c r="H98" s="314"/>
      <c r="I98" s="81"/>
      <c r="J98" s="114" t="s">
        <v>609</v>
      </c>
      <c r="K98" s="114"/>
      <c r="L98" s="121">
        <v>0.1</v>
      </c>
      <c r="M98" s="119"/>
      <c r="N98" s="192">
        <f>AVERAGE(M99:M101)*L98</f>
        <v>8.3333333333333343E-2</v>
      </c>
      <c r="O98" s="119"/>
      <c r="P98" s="183"/>
      <c r="Q98" s="119"/>
      <c r="R98" s="119"/>
      <c r="S98" s="119"/>
      <c r="T98" s="119"/>
      <c r="U98" s="119"/>
      <c r="V98" s="119"/>
      <c r="W98" s="119"/>
      <c r="X98" s="119"/>
      <c r="Y98" s="119"/>
      <c r="Z98" s="119"/>
      <c r="AA98" s="119"/>
      <c r="AB98" s="119"/>
      <c r="AC98" s="119"/>
      <c r="AD98" s="119"/>
      <c r="AE98" s="119"/>
    </row>
    <row r="99" spans="7:31" outlineLevel="1" x14ac:dyDescent="0.2">
      <c r="G99" s="313"/>
      <c r="H99" s="314"/>
      <c r="I99" s="81"/>
      <c r="J99" s="114"/>
      <c r="K99" s="125" t="s">
        <v>610</v>
      </c>
      <c r="L99" s="119"/>
      <c r="M99" s="192">
        <v>0.75</v>
      </c>
      <c r="N99" s="119"/>
      <c r="O99" s="119"/>
      <c r="P99" s="183"/>
      <c r="Q99" s="119"/>
      <c r="R99" s="119"/>
      <c r="S99" s="119"/>
      <c r="T99" s="119"/>
      <c r="U99" s="119"/>
      <c r="V99" s="119"/>
      <c r="W99" s="119"/>
      <c r="X99" s="119"/>
      <c r="Y99" s="119"/>
      <c r="Z99" s="119"/>
      <c r="AA99" s="119"/>
      <c r="AB99" s="119"/>
      <c r="AC99" s="119"/>
      <c r="AD99" s="119"/>
      <c r="AE99" s="119"/>
    </row>
    <row r="100" spans="7:31" outlineLevel="1" x14ac:dyDescent="0.2">
      <c r="G100" s="313"/>
      <c r="H100" s="314"/>
      <c r="I100" s="81"/>
      <c r="J100" s="114"/>
      <c r="K100" s="125" t="s">
        <v>611</v>
      </c>
      <c r="L100" s="119"/>
      <c r="M100" s="192">
        <v>0.75</v>
      </c>
      <c r="N100" s="119"/>
      <c r="O100" s="119"/>
      <c r="P100" s="183"/>
      <c r="Q100" s="119"/>
      <c r="R100" s="119"/>
      <c r="S100" s="119"/>
      <c r="T100" s="119"/>
      <c r="U100" s="119"/>
      <c r="V100" s="119"/>
      <c r="W100" s="119"/>
      <c r="X100" s="119"/>
      <c r="Y100" s="119"/>
      <c r="Z100" s="119"/>
      <c r="AA100" s="119"/>
      <c r="AB100" s="119"/>
      <c r="AC100" s="119"/>
      <c r="AD100" s="119"/>
      <c r="AE100" s="119"/>
    </row>
    <row r="101" spans="7:31" outlineLevel="1" x14ac:dyDescent="0.2">
      <c r="G101" s="313"/>
      <c r="H101" s="314"/>
      <c r="I101" s="81"/>
      <c r="J101" s="114"/>
      <c r="K101" s="125" t="s">
        <v>612</v>
      </c>
      <c r="L101" s="119"/>
      <c r="M101" s="192">
        <v>1</v>
      </c>
      <c r="N101" s="119"/>
      <c r="O101" s="119"/>
      <c r="P101" s="183"/>
      <c r="Q101" s="119"/>
      <c r="R101" s="119"/>
      <c r="S101" s="119"/>
      <c r="T101" s="119"/>
      <c r="U101" s="119"/>
      <c r="V101" s="119"/>
      <c r="W101" s="119"/>
      <c r="X101" s="119"/>
      <c r="Y101" s="119"/>
      <c r="Z101" s="119"/>
      <c r="AA101" s="119"/>
      <c r="AB101" s="119"/>
      <c r="AC101" s="119"/>
      <c r="AD101" s="119"/>
      <c r="AE101" s="119"/>
    </row>
    <row r="102" spans="7:31" outlineLevel="1" x14ac:dyDescent="0.2">
      <c r="G102" s="313"/>
      <c r="H102" s="314"/>
      <c r="I102" s="81"/>
      <c r="J102" s="114" t="s">
        <v>613</v>
      </c>
      <c r="K102" s="114"/>
      <c r="L102" s="121">
        <v>0.1</v>
      </c>
      <c r="M102" s="192">
        <v>1</v>
      </c>
      <c r="N102" s="192">
        <f>M102*L102</f>
        <v>0.1</v>
      </c>
      <c r="O102" s="119"/>
      <c r="P102" s="183"/>
      <c r="Q102" s="119"/>
      <c r="R102" s="119"/>
      <c r="S102" s="119"/>
      <c r="T102" s="119"/>
      <c r="U102" s="119"/>
      <c r="V102" s="119"/>
      <c r="W102" s="119"/>
      <c r="X102" s="119"/>
      <c r="Y102" s="119"/>
      <c r="Z102" s="119"/>
      <c r="AA102" s="119"/>
      <c r="AB102" s="119"/>
      <c r="AC102" s="119"/>
      <c r="AD102" s="119"/>
      <c r="AE102" s="119"/>
    </row>
    <row r="103" spans="7:31" outlineLevel="1" x14ac:dyDescent="0.2">
      <c r="G103" s="313"/>
      <c r="H103" s="314"/>
      <c r="I103" s="81"/>
      <c r="J103" s="114" t="s">
        <v>614</v>
      </c>
      <c r="K103" s="114"/>
      <c r="L103" s="121">
        <v>0.25</v>
      </c>
      <c r="M103" s="121"/>
      <c r="N103" s="192">
        <f>AVERAGE(M104:M106)*L103</f>
        <v>0.25</v>
      </c>
      <c r="O103" s="119"/>
      <c r="P103" s="183"/>
      <c r="Q103" s="119"/>
      <c r="R103" s="119"/>
      <c r="S103" s="119"/>
      <c r="T103" s="119"/>
      <c r="U103" s="119"/>
      <c r="V103" s="119"/>
      <c r="W103" s="119"/>
      <c r="X103" s="119"/>
      <c r="Y103" s="119"/>
      <c r="Z103" s="119"/>
      <c r="AA103" s="119"/>
      <c r="AB103" s="119"/>
      <c r="AC103" s="119"/>
      <c r="AD103" s="119"/>
      <c r="AE103" s="119"/>
    </row>
    <row r="104" spans="7:31" outlineLevel="1" x14ac:dyDescent="0.2">
      <c r="G104" s="313"/>
      <c r="H104" s="314"/>
      <c r="I104" s="81"/>
      <c r="J104" s="114"/>
      <c r="K104" s="125" t="s">
        <v>615</v>
      </c>
      <c r="L104" s="119"/>
      <c r="M104" s="121">
        <v>1</v>
      </c>
      <c r="N104" s="119"/>
      <c r="O104" s="119"/>
      <c r="P104" s="183"/>
      <c r="Q104" s="119"/>
      <c r="R104" s="119"/>
      <c r="S104" s="119"/>
      <c r="T104" s="119"/>
      <c r="U104" s="119"/>
      <c r="V104" s="119"/>
      <c r="W104" s="119"/>
      <c r="X104" s="119"/>
      <c r="Y104" s="119"/>
      <c r="Z104" s="119"/>
      <c r="AA104" s="119"/>
      <c r="AB104" s="119"/>
      <c r="AC104" s="119"/>
      <c r="AD104" s="119"/>
      <c r="AE104" s="119"/>
    </row>
    <row r="105" spans="7:31" outlineLevel="1" x14ac:dyDescent="0.2">
      <c r="G105" s="313"/>
      <c r="H105" s="314"/>
      <c r="I105" s="81"/>
      <c r="J105" s="114"/>
      <c r="K105" s="125" t="s">
        <v>616</v>
      </c>
      <c r="L105" s="119"/>
      <c r="M105" s="121">
        <v>1</v>
      </c>
      <c r="N105" s="119"/>
      <c r="O105" s="119"/>
      <c r="P105" s="183"/>
      <c r="Q105" s="119"/>
      <c r="R105" s="119"/>
      <c r="S105" s="119"/>
      <c r="T105" s="119"/>
      <c r="U105" s="119"/>
      <c r="V105" s="119"/>
      <c r="W105" s="119"/>
      <c r="X105" s="119"/>
      <c r="Y105" s="119"/>
      <c r="Z105" s="119"/>
      <c r="AA105" s="119"/>
      <c r="AB105" s="119"/>
      <c r="AC105" s="119"/>
      <c r="AD105" s="119"/>
      <c r="AE105" s="119"/>
    </row>
    <row r="106" spans="7:31" outlineLevel="1" x14ac:dyDescent="0.2">
      <c r="G106" s="313"/>
      <c r="H106" s="314"/>
      <c r="I106" s="81"/>
      <c r="J106" s="114"/>
      <c r="K106" s="125" t="s">
        <v>617</v>
      </c>
      <c r="L106" s="119"/>
      <c r="M106" s="121">
        <v>1</v>
      </c>
      <c r="N106" s="119"/>
      <c r="O106" s="119"/>
      <c r="P106" s="183"/>
      <c r="Q106" s="119"/>
      <c r="R106" s="119"/>
      <c r="S106" s="119"/>
      <c r="T106" s="119"/>
      <c r="U106" s="119"/>
      <c r="V106" s="119"/>
      <c r="W106" s="119"/>
      <c r="X106" s="119"/>
      <c r="Y106" s="119"/>
      <c r="Z106" s="119"/>
      <c r="AA106" s="119"/>
      <c r="AB106" s="119"/>
      <c r="AC106" s="119"/>
      <c r="AD106" s="119"/>
      <c r="AE106" s="119"/>
    </row>
    <row r="107" spans="7:31" outlineLevel="1" x14ac:dyDescent="0.2">
      <c r="G107" s="313"/>
      <c r="H107" s="314"/>
      <c r="I107" s="81"/>
      <c r="J107" s="114" t="s">
        <v>618</v>
      </c>
      <c r="K107" s="114"/>
      <c r="L107" s="121">
        <v>0.25</v>
      </c>
      <c r="M107" s="121"/>
      <c r="N107" s="192">
        <f>AVERAGE(M108:M112)*L107</f>
        <v>0.21249999999999999</v>
      </c>
      <c r="O107" s="119"/>
      <c r="P107" s="183"/>
      <c r="Q107" s="119"/>
      <c r="R107" s="119"/>
      <c r="S107" s="119"/>
      <c r="T107" s="119"/>
      <c r="U107" s="119"/>
      <c r="V107" s="119"/>
      <c r="W107" s="119"/>
      <c r="X107" s="119"/>
      <c r="Y107" s="119"/>
      <c r="Z107" s="119"/>
      <c r="AA107" s="119"/>
      <c r="AB107" s="119"/>
      <c r="AC107" s="119"/>
      <c r="AD107" s="119"/>
      <c r="AE107" s="119"/>
    </row>
    <row r="108" spans="7:31" outlineLevel="1" x14ac:dyDescent="0.2">
      <c r="G108" s="313"/>
      <c r="H108" s="314"/>
      <c r="I108" s="81"/>
      <c r="J108" s="114"/>
      <c r="K108" s="125" t="s">
        <v>619</v>
      </c>
      <c r="L108" s="119"/>
      <c r="M108" s="121">
        <v>1</v>
      </c>
      <c r="N108" s="119"/>
      <c r="O108" s="119"/>
      <c r="P108" s="183"/>
      <c r="Q108" s="119"/>
      <c r="R108" s="119"/>
      <c r="S108" s="119"/>
      <c r="T108" s="119"/>
      <c r="U108" s="119"/>
      <c r="V108" s="119"/>
      <c r="W108" s="119"/>
      <c r="X108" s="119"/>
      <c r="Y108" s="119"/>
      <c r="Z108" s="119"/>
      <c r="AA108" s="119"/>
      <c r="AB108" s="119"/>
      <c r="AC108" s="119"/>
      <c r="AD108" s="119"/>
      <c r="AE108" s="119"/>
    </row>
    <row r="109" spans="7:31" outlineLevel="1" x14ac:dyDescent="0.2">
      <c r="G109" s="313"/>
      <c r="H109" s="314"/>
      <c r="I109" s="120"/>
      <c r="J109" s="120"/>
      <c r="K109" s="125" t="s">
        <v>620</v>
      </c>
      <c r="L109" s="120"/>
      <c r="M109" s="121">
        <v>1</v>
      </c>
      <c r="N109" s="119"/>
      <c r="O109" s="119"/>
      <c r="P109" s="183"/>
      <c r="Q109" s="119"/>
      <c r="R109" s="119"/>
      <c r="S109" s="119"/>
      <c r="T109" s="119"/>
      <c r="U109" s="119"/>
      <c r="V109" s="119"/>
      <c r="W109" s="119"/>
      <c r="X109" s="119"/>
      <c r="Y109" s="119"/>
      <c r="Z109" s="119"/>
      <c r="AA109" s="119"/>
      <c r="AB109" s="119"/>
      <c r="AC109" s="119"/>
      <c r="AD109" s="119"/>
      <c r="AE109" s="119"/>
    </row>
    <row r="110" spans="7:31" outlineLevel="1" x14ac:dyDescent="0.2">
      <c r="G110" s="313"/>
      <c r="H110" s="314"/>
      <c r="I110" s="120"/>
      <c r="J110" s="120"/>
      <c r="K110" s="125" t="s">
        <v>621</v>
      </c>
      <c r="L110" s="120"/>
      <c r="M110" s="121">
        <v>0.25</v>
      </c>
      <c r="N110" s="119"/>
      <c r="O110" s="119"/>
      <c r="P110" s="183"/>
      <c r="Q110" s="119"/>
      <c r="R110" s="119"/>
      <c r="S110" s="119"/>
      <c r="T110" s="119"/>
      <c r="U110" s="119"/>
      <c r="V110" s="119"/>
      <c r="W110" s="119"/>
      <c r="X110" s="119"/>
      <c r="Y110" s="119"/>
      <c r="Z110" s="119"/>
      <c r="AA110" s="119"/>
      <c r="AB110" s="119"/>
      <c r="AC110" s="119"/>
      <c r="AD110" s="119"/>
      <c r="AE110" s="119"/>
    </row>
    <row r="111" spans="7:31" outlineLevel="1" x14ac:dyDescent="0.2">
      <c r="G111" s="313"/>
      <c r="H111" s="314"/>
      <c r="I111" s="120"/>
      <c r="J111" s="120"/>
      <c r="K111" s="125" t="s">
        <v>622</v>
      </c>
      <c r="L111" s="120"/>
      <c r="M111" s="121">
        <v>1</v>
      </c>
      <c r="N111" s="119"/>
      <c r="O111" s="119"/>
      <c r="P111" s="183"/>
      <c r="Q111" s="119"/>
      <c r="R111" s="119"/>
      <c r="S111" s="119"/>
      <c r="T111" s="119"/>
      <c r="U111" s="119"/>
      <c r="V111" s="119"/>
      <c r="W111" s="119"/>
      <c r="X111" s="119"/>
      <c r="Y111" s="119"/>
      <c r="Z111" s="119"/>
      <c r="AA111" s="119"/>
      <c r="AB111" s="119"/>
      <c r="AC111" s="119"/>
      <c r="AD111" s="119"/>
      <c r="AE111" s="119"/>
    </row>
    <row r="112" spans="7:31" outlineLevel="1" x14ac:dyDescent="0.2">
      <c r="G112" s="313"/>
      <c r="H112" s="314"/>
      <c r="I112" s="120"/>
      <c r="J112" s="120"/>
      <c r="K112" s="125" t="s">
        <v>623</v>
      </c>
      <c r="L112" s="120"/>
      <c r="M112" s="121">
        <v>1</v>
      </c>
      <c r="N112" s="119"/>
      <c r="O112" s="119"/>
      <c r="P112" s="183"/>
      <c r="Q112" s="119"/>
      <c r="R112" s="119"/>
      <c r="S112" s="119"/>
      <c r="T112" s="119"/>
      <c r="U112" s="119"/>
      <c r="V112" s="119"/>
      <c r="W112" s="119"/>
      <c r="X112" s="119"/>
      <c r="Y112" s="119"/>
      <c r="Z112" s="119"/>
      <c r="AA112" s="119"/>
      <c r="AB112" s="119"/>
      <c r="AC112" s="119"/>
      <c r="AD112" s="119"/>
      <c r="AE112" s="119"/>
    </row>
    <row r="113" spans="7:31" outlineLevel="1" x14ac:dyDescent="0.2">
      <c r="G113" s="313"/>
      <c r="H113" s="314"/>
      <c r="I113" s="120"/>
      <c r="J113" s="114" t="s">
        <v>624</v>
      </c>
      <c r="K113" s="114"/>
      <c r="L113" s="121">
        <v>0.1</v>
      </c>
      <c r="M113" s="121"/>
      <c r="N113" s="192">
        <f>AVERAGE(M114:M116)*L113</f>
        <v>0.04</v>
      </c>
      <c r="O113" s="119"/>
      <c r="P113" s="183"/>
      <c r="Q113" s="119"/>
      <c r="R113" s="119"/>
      <c r="S113" s="119"/>
      <c r="T113" s="119"/>
      <c r="U113" s="119"/>
      <c r="V113" s="119"/>
      <c r="W113" s="119"/>
      <c r="X113" s="119"/>
      <c r="Y113" s="119"/>
      <c r="Z113" s="119"/>
      <c r="AA113" s="119"/>
      <c r="AB113" s="119"/>
      <c r="AC113" s="119"/>
      <c r="AD113" s="119"/>
      <c r="AE113" s="119"/>
    </row>
    <row r="114" spans="7:31" outlineLevel="1" x14ac:dyDescent="0.2">
      <c r="G114" s="313"/>
      <c r="H114" s="314"/>
      <c r="I114" s="120"/>
      <c r="J114" s="120"/>
      <c r="K114" s="125" t="s">
        <v>625</v>
      </c>
      <c r="L114" s="120"/>
      <c r="M114" s="121">
        <v>0.1</v>
      </c>
      <c r="N114" s="119"/>
      <c r="O114" s="119"/>
      <c r="P114" s="183"/>
      <c r="Q114" s="119"/>
      <c r="R114" s="119"/>
      <c r="S114" s="119"/>
      <c r="T114" s="119"/>
      <c r="U114" s="119"/>
      <c r="V114" s="119"/>
      <c r="W114" s="119"/>
      <c r="X114" s="119"/>
      <c r="Y114" s="119"/>
      <c r="Z114" s="119"/>
      <c r="AA114" s="119"/>
      <c r="AB114" s="119"/>
      <c r="AC114" s="119"/>
      <c r="AD114" s="119"/>
      <c r="AE114" s="119"/>
    </row>
    <row r="115" spans="7:31" outlineLevel="1" x14ac:dyDescent="0.2">
      <c r="G115" s="313"/>
      <c r="H115" s="314"/>
      <c r="I115" s="120"/>
      <c r="J115" s="120"/>
      <c r="K115" s="125" t="s">
        <v>626</v>
      </c>
      <c r="L115" s="120"/>
      <c r="M115" s="121">
        <v>0.1</v>
      </c>
      <c r="N115" s="119"/>
      <c r="O115" s="119"/>
      <c r="P115" s="183"/>
      <c r="Q115" s="119"/>
      <c r="R115" s="119"/>
      <c r="S115" s="119"/>
      <c r="T115" s="119"/>
      <c r="U115" s="119"/>
      <c r="V115" s="119"/>
      <c r="W115" s="119"/>
      <c r="X115" s="119"/>
      <c r="Y115" s="119"/>
      <c r="Z115" s="119"/>
      <c r="AA115" s="119"/>
      <c r="AB115" s="119"/>
      <c r="AC115" s="119"/>
      <c r="AD115" s="119"/>
      <c r="AE115" s="119"/>
    </row>
    <row r="116" spans="7:31" outlineLevel="1" x14ac:dyDescent="0.2">
      <c r="G116" s="313"/>
      <c r="H116" s="314"/>
      <c r="I116" s="120"/>
      <c r="J116" s="120"/>
      <c r="K116" s="125" t="s">
        <v>627</v>
      </c>
      <c r="L116" s="120"/>
      <c r="M116" s="121">
        <v>1</v>
      </c>
      <c r="N116" s="119"/>
      <c r="O116" s="119"/>
      <c r="P116" s="183"/>
      <c r="Q116" s="119"/>
      <c r="R116" s="119"/>
      <c r="S116" s="119"/>
      <c r="T116" s="119"/>
      <c r="U116" s="119"/>
      <c r="V116" s="119"/>
      <c r="W116" s="119"/>
      <c r="X116" s="119"/>
      <c r="Y116" s="119"/>
      <c r="Z116" s="119"/>
      <c r="AA116" s="119"/>
      <c r="AB116" s="119"/>
      <c r="AC116" s="119"/>
      <c r="AD116" s="119"/>
      <c r="AE116" s="119"/>
    </row>
    <row r="117" spans="7:31" outlineLevel="1" x14ac:dyDescent="0.2">
      <c r="G117" s="313"/>
      <c r="H117" s="314"/>
      <c r="I117" s="120"/>
      <c r="J117" s="114" t="s">
        <v>628</v>
      </c>
      <c r="K117" s="114"/>
      <c r="L117" s="121">
        <v>0.1</v>
      </c>
      <c r="M117" s="121"/>
      <c r="N117" s="192">
        <f>AVERAGE(M118:M120)*L117</f>
        <v>6.6666666666666666E-2</v>
      </c>
      <c r="O117" s="119"/>
      <c r="P117" s="183"/>
      <c r="Q117" s="119"/>
      <c r="R117" s="119"/>
      <c r="S117" s="119"/>
      <c r="T117" s="119"/>
      <c r="U117" s="119"/>
      <c r="V117" s="119"/>
      <c r="W117" s="119"/>
      <c r="X117" s="119"/>
      <c r="Y117" s="119"/>
      <c r="Z117" s="119"/>
      <c r="AA117" s="119"/>
      <c r="AB117" s="119"/>
      <c r="AC117" s="119"/>
      <c r="AD117" s="119"/>
      <c r="AE117" s="119"/>
    </row>
    <row r="118" spans="7:31" outlineLevel="1" x14ac:dyDescent="0.2">
      <c r="G118" s="313"/>
      <c r="H118" s="314"/>
      <c r="I118" s="120"/>
      <c r="J118" s="120"/>
      <c r="K118" s="125" t="s">
        <v>629</v>
      </c>
      <c r="L118" s="120"/>
      <c r="M118" s="121">
        <v>1</v>
      </c>
      <c r="N118" s="119"/>
      <c r="O118" s="119"/>
      <c r="P118" s="183"/>
      <c r="Q118" s="119"/>
      <c r="R118" s="119"/>
      <c r="S118" s="119"/>
      <c r="T118" s="119"/>
      <c r="U118" s="119"/>
      <c r="V118" s="119"/>
      <c r="W118" s="119"/>
      <c r="X118" s="119"/>
      <c r="Y118" s="119"/>
      <c r="Z118" s="119"/>
      <c r="AA118" s="119"/>
      <c r="AB118" s="119"/>
      <c r="AC118" s="119"/>
      <c r="AD118" s="119"/>
      <c r="AE118" s="119"/>
    </row>
    <row r="119" spans="7:31" outlineLevel="1" x14ac:dyDescent="0.2">
      <c r="G119" s="313"/>
      <c r="H119" s="314"/>
      <c r="I119" s="120"/>
      <c r="J119" s="120"/>
      <c r="K119" s="125" t="s">
        <v>630</v>
      </c>
      <c r="L119" s="120"/>
      <c r="M119" s="121">
        <v>1</v>
      </c>
      <c r="N119" s="119"/>
      <c r="O119" s="119"/>
      <c r="P119" s="183"/>
      <c r="Q119" s="119"/>
      <c r="R119" s="119"/>
      <c r="S119" s="119"/>
      <c r="T119" s="119"/>
      <c r="U119" s="119"/>
      <c r="V119" s="119"/>
      <c r="W119" s="119"/>
      <c r="X119" s="119"/>
      <c r="Y119" s="119"/>
      <c r="Z119" s="119"/>
      <c r="AA119" s="119"/>
      <c r="AB119" s="119"/>
      <c r="AC119" s="119"/>
      <c r="AD119" s="119"/>
      <c r="AE119" s="119"/>
    </row>
    <row r="120" spans="7:31" outlineLevel="1" x14ac:dyDescent="0.2">
      <c r="G120" s="313"/>
      <c r="H120" s="314"/>
      <c r="I120" s="120"/>
      <c r="J120" s="120"/>
      <c r="K120" s="125" t="s">
        <v>631</v>
      </c>
      <c r="L120" s="120"/>
      <c r="M120" s="121">
        <v>0</v>
      </c>
      <c r="N120" s="119"/>
      <c r="O120" s="119"/>
      <c r="P120" s="183"/>
      <c r="Q120" s="119"/>
      <c r="R120" s="119"/>
      <c r="S120" s="119"/>
      <c r="T120" s="119"/>
      <c r="U120" s="119"/>
      <c r="V120" s="119"/>
      <c r="W120" s="119"/>
      <c r="X120" s="119"/>
      <c r="Y120" s="119"/>
      <c r="Z120" s="119"/>
      <c r="AA120" s="119"/>
      <c r="AB120" s="119"/>
      <c r="AC120" s="119"/>
      <c r="AD120" s="119"/>
      <c r="AE120" s="119"/>
    </row>
    <row r="121" spans="7:31" outlineLevel="1" x14ac:dyDescent="0.2">
      <c r="G121" s="313"/>
      <c r="H121" s="314"/>
      <c r="I121" s="81"/>
      <c r="J121" s="114" t="s">
        <v>632</v>
      </c>
      <c r="K121" s="114"/>
      <c r="L121" s="121">
        <v>0.1</v>
      </c>
      <c r="M121" s="121"/>
      <c r="N121" s="192">
        <f>AVERAGE(M122:M125)*L121</f>
        <v>0.1</v>
      </c>
      <c r="O121" s="119"/>
      <c r="P121" s="183"/>
      <c r="Q121" s="119"/>
      <c r="R121" s="119"/>
      <c r="S121" s="119"/>
      <c r="T121" s="119"/>
      <c r="U121" s="119"/>
      <c r="V121" s="119"/>
      <c r="W121" s="119"/>
      <c r="X121" s="119"/>
      <c r="Y121" s="119"/>
      <c r="Z121" s="119"/>
      <c r="AA121" s="119"/>
      <c r="AB121" s="119"/>
      <c r="AC121" s="119"/>
      <c r="AD121" s="119"/>
      <c r="AE121" s="119"/>
    </row>
    <row r="122" spans="7:31" outlineLevel="1" x14ac:dyDescent="0.2">
      <c r="G122" s="313"/>
      <c r="H122" s="314"/>
      <c r="I122" s="81"/>
      <c r="J122" s="120"/>
      <c r="K122" s="125" t="s">
        <v>633</v>
      </c>
      <c r="L122" s="119"/>
      <c r="M122" s="121"/>
      <c r="N122" s="119"/>
      <c r="O122" s="119"/>
      <c r="P122" s="183"/>
      <c r="Q122" s="119"/>
      <c r="R122" s="119"/>
      <c r="S122" s="119"/>
      <c r="T122" s="119"/>
      <c r="U122" s="119"/>
      <c r="V122" s="119"/>
      <c r="W122" s="119"/>
      <c r="X122" s="119"/>
      <c r="Y122" s="119"/>
      <c r="Z122" s="119"/>
      <c r="AA122" s="119"/>
      <c r="AB122" s="119"/>
      <c r="AC122" s="119"/>
      <c r="AD122" s="119"/>
      <c r="AE122" s="119"/>
    </row>
    <row r="123" spans="7:31" outlineLevel="1" x14ac:dyDescent="0.2">
      <c r="G123" s="313"/>
      <c r="H123" s="314"/>
      <c r="I123" s="81"/>
      <c r="J123" s="120"/>
      <c r="K123" s="125" t="s">
        <v>634</v>
      </c>
      <c r="L123" s="119"/>
      <c r="M123" s="121"/>
      <c r="N123" s="119"/>
      <c r="O123" s="119"/>
      <c r="P123" s="183"/>
      <c r="Q123" s="119"/>
      <c r="R123" s="119"/>
      <c r="S123" s="119"/>
      <c r="T123" s="119"/>
      <c r="U123" s="119"/>
      <c r="V123" s="119"/>
      <c r="W123" s="119"/>
      <c r="X123" s="119"/>
      <c r="Y123" s="119"/>
      <c r="Z123" s="119"/>
      <c r="AA123" s="119"/>
      <c r="AB123" s="119"/>
      <c r="AC123" s="119"/>
      <c r="AD123" s="119"/>
      <c r="AE123" s="119"/>
    </row>
    <row r="124" spans="7:31" outlineLevel="1" x14ac:dyDescent="0.2">
      <c r="G124" s="313"/>
      <c r="H124" s="314"/>
      <c r="I124" s="81"/>
      <c r="J124" s="120"/>
      <c r="K124" s="125" t="s">
        <v>635</v>
      </c>
      <c r="L124" s="119"/>
      <c r="M124" s="121">
        <v>1</v>
      </c>
      <c r="N124" s="119"/>
      <c r="O124" s="119"/>
      <c r="P124" s="183"/>
      <c r="Q124" s="119"/>
      <c r="R124" s="119"/>
      <c r="S124" s="119"/>
      <c r="T124" s="119"/>
      <c r="U124" s="119"/>
      <c r="V124" s="119"/>
      <c r="W124" s="119"/>
      <c r="X124" s="119"/>
      <c r="Y124" s="119"/>
      <c r="Z124" s="119"/>
      <c r="AA124" s="119"/>
      <c r="AB124" s="119"/>
      <c r="AC124" s="119"/>
      <c r="AD124" s="119"/>
      <c r="AE124" s="119"/>
    </row>
    <row r="125" spans="7:31" outlineLevel="1" x14ac:dyDescent="0.2">
      <c r="G125" s="313"/>
      <c r="H125" s="314"/>
      <c r="I125" s="81"/>
      <c r="J125" s="120"/>
      <c r="K125" s="125" t="s">
        <v>636</v>
      </c>
      <c r="L125" s="119"/>
      <c r="M125" s="121">
        <v>1</v>
      </c>
      <c r="N125" s="119"/>
      <c r="O125" s="119"/>
      <c r="P125" s="183"/>
      <c r="Q125" s="119"/>
      <c r="R125" s="119"/>
      <c r="S125" s="119"/>
      <c r="T125" s="119"/>
      <c r="U125" s="119"/>
      <c r="V125" s="119"/>
      <c r="W125" s="119"/>
      <c r="X125" s="119"/>
      <c r="Y125" s="119"/>
      <c r="Z125" s="119"/>
      <c r="AA125" s="119"/>
      <c r="AB125" s="119"/>
      <c r="AC125" s="119"/>
      <c r="AD125" s="119"/>
      <c r="AE125" s="119"/>
    </row>
    <row r="126" spans="7:31" outlineLevel="1" x14ac:dyDescent="0.2">
      <c r="G126" s="313"/>
      <c r="H126" s="314"/>
      <c r="I126" s="114" t="s">
        <v>586</v>
      </c>
      <c r="J126" s="120"/>
      <c r="K126" s="120"/>
      <c r="L126" s="192">
        <f>SUM(L127:L133)</f>
        <v>1</v>
      </c>
      <c r="M126" s="119"/>
      <c r="N126" s="119"/>
      <c r="O126" s="261">
        <f>SUM(N127:N133)</f>
        <v>0.875</v>
      </c>
      <c r="P126" s="183"/>
      <c r="Q126" s="119"/>
      <c r="R126" s="119"/>
      <c r="S126" s="119"/>
      <c r="T126" s="119"/>
      <c r="U126" s="119"/>
      <c r="V126" s="119"/>
      <c r="W126" s="119"/>
      <c r="X126" s="119"/>
      <c r="Y126" s="119"/>
      <c r="Z126" s="119"/>
      <c r="AA126" s="119"/>
      <c r="AB126" s="119"/>
      <c r="AC126" s="119"/>
      <c r="AD126" s="119"/>
      <c r="AE126" s="119"/>
    </row>
    <row r="127" spans="7:31" outlineLevel="1" x14ac:dyDescent="0.2">
      <c r="G127" s="313"/>
      <c r="H127" s="314"/>
      <c r="I127" s="81"/>
      <c r="J127" s="114" t="s">
        <v>637</v>
      </c>
      <c r="K127" s="120"/>
      <c r="L127" s="192">
        <v>0.2</v>
      </c>
      <c r="M127" s="121">
        <v>1</v>
      </c>
      <c r="N127" s="192">
        <f>M127*L127</f>
        <v>0.2</v>
      </c>
      <c r="O127" s="119"/>
      <c r="P127" s="183"/>
      <c r="Q127" s="119"/>
      <c r="R127" s="119"/>
      <c r="S127" s="119"/>
      <c r="T127" s="119"/>
      <c r="U127" s="119"/>
      <c r="V127" s="119"/>
      <c r="W127" s="119"/>
      <c r="X127" s="119"/>
      <c r="Y127" s="119"/>
      <c r="Z127" s="119"/>
      <c r="AA127" s="119"/>
      <c r="AB127" s="119"/>
      <c r="AC127" s="119"/>
      <c r="AD127" s="119"/>
      <c r="AE127" s="119"/>
    </row>
    <row r="128" spans="7:31" outlineLevel="1" x14ac:dyDescent="0.2">
      <c r="G128" s="313"/>
      <c r="H128" s="314"/>
      <c r="I128" s="81"/>
      <c r="J128" s="114" t="s">
        <v>638</v>
      </c>
      <c r="K128" s="120"/>
      <c r="L128" s="192">
        <v>0.25</v>
      </c>
      <c r="M128" s="121">
        <v>1</v>
      </c>
      <c r="N128" s="192">
        <f>M128*L128</f>
        <v>0.25</v>
      </c>
      <c r="O128" s="119"/>
      <c r="P128" s="183"/>
      <c r="Q128" s="119"/>
      <c r="R128" s="119"/>
      <c r="S128" s="119"/>
      <c r="T128" s="119"/>
      <c r="U128" s="119"/>
      <c r="V128" s="119"/>
      <c r="W128" s="119"/>
      <c r="X128" s="119"/>
      <c r="Y128" s="119"/>
      <c r="Z128" s="119"/>
      <c r="AA128" s="119"/>
      <c r="AB128" s="119"/>
      <c r="AC128" s="119"/>
      <c r="AD128" s="119"/>
      <c r="AE128" s="119"/>
    </row>
    <row r="129" spans="7:31" outlineLevel="1" x14ac:dyDescent="0.2">
      <c r="G129" s="313"/>
      <c r="H129" s="314"/>
      <c r="I129" s="81"/>
      <c r="J129" s="114" t="s">
        <v>639</v>
      </c>
      <c r="K129" s="120"/>
      <c r="L129" s="192">
        <v>0.25</v>
      </c>
      <c r="M129" s="119"/>
      <c r="N129" s="192">
        <f>AVERAGE(M130:M131)*L129</f>
        <v>0.125</v>
      </c>
      <c r="O129" s="119"/>
      <c r="P129" s="183"/>
      <c r="Q129" s="119"/>
      <c r="R129" s="119"/>
      <c r="S129" s="119"/>
      <c r="T129" s="119"/>
      <c r="U129" s="119"/>
      <c r="V129" s="119"/>
      <c r="W129" s="119"/>
      <c r="X129" s="119"/>
      <c r="Y129" s="119"/>
      <c r="Z129" s="119"/>
      <c r="AA129" s="119"/>
      <c r="AB129" s="119"/>
      <c r="AC129" s="119"/>
      <c r="AD129" s="119"/>
      <c r="AE129" s="119"/>
    </row>
    <row r="130" spans="7:31" outlineLevel="1" x14ac:dyDescent="0.2">
      <c r="G130" s="313"/>
      <c r="H130" s="314"/>
      <c r="I130" s="81"/>
      <c r="J130" s="120"/>
      <c r="K130" s="125" t="s">
        <v>630</v>
      </c>
      <c r="L130" s="119"/>
      <c r="M130" s="192">
        <v>1</v>
      </c>
      <c r="N130" s="119"/>
      <c r="O130" s="119"/>
      <c r="P130" s="183"/>
      <c r="Q130" s="119"/>
      <c r="R130" s="119"/>
      <c r="S130" s="119"/>
      <c r="T130" s="119"/>
      <c r="U130" s="119"/>
      <c r="V130" s="119"/>
      <c r="W130" s="119"/>
      <c r="X130" s="119"/>
      <c r="Y130" s="119"/>
      <c r="Z130" s="119"/>
      <c r="AA130" s="119"/>
      <c r="AB130" s="119"/>
      <c r="AC130" s="119"/>
      <c r="AD130" s="119"/>
      <c r="AE130" s="119"/>
    </row>
    <row r="131" spans="7:31" outlineLevel="1" x14ac:dyDescent="0.2">
      <c r="G131" s="313"/>
      <c r="H131" s="314"/>
      <c r="I131" s="81"/>
      <c r="J131" s="114"/>
      <c r="K131" s="125" t="s">
        <v>631</v>
      </c>
      <c r="L131" s="119"/>
      <c r="M131" s="192">
        <v>0</v>
      </c>
      <c r="N131" s="119"/>
      <c r="O131" s="119"/>
      <c r="P131" s="183"/>
      <c r="Q131" s="119"/>
      <c r="R131" s="119"/>
      <c r="S131" s="119"/>
      <c r="T131" s="119"/>
      <c r="U131" s="119"/>
      <c r="V131" s="119"/>
      <c r="W131" s="119"/>
      <c r="X131" s="119"/>
      <c r="Y131" s="119"/>
      <c r="Z131" s="119"/>
      <c r="AA131" s="119"/>
      <c r="AB131" s="119"/>
      <c r="AC131" s="119"/>
      <c r="AD131" s="119"/>
      <c r="AE131" s="119"/>
    </row>
    <row r="132" spans="7:31" outlineLevel="1" x14ac:dyDescent="0.2">
      <c r="G132" s="313"/>
      <c r="H132" s="314"/>
      <c r="I132" s="81"/>
      <c r="J132" s="114" t="s">
        <v>640</v>
      </c>
      <c r="K132" s="125"/>
      <c r="L132" s="192">
        <v>0.15</v>
      </c>
      <c r="M132" s="121">
        <v>1</v>
      </c>
      <c r="N132" s="192">
        <f>M132*L132</f>
        <v>0.15</v>
      </c>
      <c r="O132" s="119"/>
      <c r="P132" s="183"/>
      <c r="Q132" s="119"/>
      <c r="R132" s="119"/>
      <c r="S132" s="119"/>
      <c r="T132" s="119"/>
      <c r="U132" s="119"/>
      <c r="V132" s="119"/>
      <c r="W132" s="119"/>
      <c r="X132" s="119"/>
      <c r="Y132" s="119"/>
      <c r="Z132" s="119"/>
      <c r="AA132" s="119"/>
      <c r="AB132" s="119"/>
      <c r="AC132" s="119"/>
      <c r="AD132" s="119"/>
      <c r="AE132" s="119"/>
    </row>
    <row r="133" spans="7:31" outlineLevel="1" x14ac:dyDescent="0.2">
      <c r="G133" s="313"/>
      <c r="H133" s="314"/>
      <c r="I133" s="81"/>
      <c r="J133" s="114" t="s">
        <v>641</v>
      </c>
      <c r="K133" s="125"/>
      <c r="L133" s="192">
        <v>0.15</v>
      </c>
      <c r="M133" s="121">
        <v>1</v>
      </c>
      <c r="N133" s="192">
        <f>M133*L133</f>
        <v>0.15</v>
      </c>
      <c r="O133" s="119"/>
      <c r="P133" s="183"/>
      <c r="Q133" s="119"/>
      <c r="R133" s="119"/>
      <c r="S133" s="119"/>
      <c r="T133" s="119"/>
      <c r="U133" s="119"/>
      <c r="V133" s="119"/>
      <c r="W133" s="119"/>
      <c r="X133" s="119"/>
      <c r="Y133" s="119"/>
      <c r="Z133" s="119"/>
      <c r="AA133" s="119"/>
      <c r="AB133" s="119"/>
      <c r="AC133" s="119"/>
      <c r="AD133" s="119"/>
      <c r="AE133" s="119"/>
    </row>
    <row r="134" spans="7:31" outlineLevel="1" x14ac:dyDescent="0.2">
      <c r="G134" s="313"/>
      <c r="H134" s="314"/>
      <c r="I134" s="114" t="s">
        <v>590</v>
      </c>
      <c r="J134" s="114"/>
      <c r="K134" s="125"/>
      <c r="L134" s="119"/>
      <c r="M134" s="119"/>
      <c r="N134" s="119"/>
      <c r="O134" s="192">
        <v>0</v>
      </c>
      <c r="P134" s="183"/>
      <c r="Q134" s="119"/>
      <c r="R134" s="119"/>
      <c r="S134" s="119"/>
      <c r="T134" s="119"/>
      <c r="U134" s="119"/>
      <c r="V134" s="119"/>
      <c r="W134" s="119"/>
      <c r="X134" s="119"/>
      <c r="Y134" s="119"/>
      <c r="Z134" s="119"/>
      <c r="AA134" s="119"/>
      <c r="AB134" s="119"/>
      <c r="AC134" s="119"/>
      <c r="AD134" s="119"/>
      <c r="AE134" s="119"/>
    </row>
    <row r="135" spans="7:31" outlineLevel="1" x14ac:dyDescent="0.2">
      <c r="G135" s="313"/>
      <c r="H135" s="314"/>
      <c r="I135" s="81"/>
      <c r="J135" s="114" t="s">
        <v>642</v>
      </c>
      <c r="K135" s="125"/>
      <c r="L135" s="119"/>
      <c r="M135" s="119"/>
      <c r="N135" s="119"/>
      <c r="O135" s="119"/>
      <c r="P135" s="183"/>
      <c r="Q135" s="119"/>
      <c r="R135" s="119"/>
      <c r="S135" s="119"/>
      <c r="T135" s="119"/>
      <c r="U135" s="119"/>
      <c r="V135" s="119"/>
      <c r="W135" s="119"/>
      <c r="X135" s="119"/>
      <c r="Y135" s="119"/>
      <c r="Z135" s="119"/>
      <c r="AA135" s="119"/>
      <c r="AB135" s="119"/>
      <c r="AC135" s="119"/>
      <c r="AD135" s="119"/>
      <c r="AE135" s="119"/>
    </row>
    <row r="136" spans="7:31" outlineLevel="1" x14ac:dyDescent="0.2">
      <c r="G136" s="313"/>
      <c r="H136" s="314"/>
      <c r="I136" s="81"/>
      <c r="J136" s="114" t="s">
        <v>643</v>
      </c>
      <c r="K136" s="125"/>
      <c r="L136" s="119"/>
      <c r="M136" s="119"/>
      <c r="N136" s="119"/>
      <c r="O136" s="119"/>
      <c r="P136" s="183"/>
      <c r="Q136" s="119"/>
      <c r="R136" s="119"/>
      <c r="S136" s="119"/>
      <c r="T136" s="119"/>
      <c r="U136" s="119"/>
      <c r="V136" s="119"/>
      <c r="W136" s="119"/>
      <c r="X136" s="119"/>
      <c r="Y136" s="119"/>
      <c r="Z136" s="119"/>
      <c r="AA136" s="119"/>
      <c r="AB136" s="119"/>
      <c r="AC136" s="119"/>
      <c r="AD136" s="119"/>
      <c r="AE136" s="119"/>
    </row>
    <row r="137" spans="7:31" outlineLevel="1" x14ac:dyDescent="0.2">
      <c r="G137" s="313"/>
      <c r="H137" s="314"/>
      <c r="I137" s="81"/>
      <c r="J137" s="114" t="s">
        <v>644</v>
      </c>
      <c r="K137" s="125"/>
      <c r="L137" s="119"/>
      <c r="M137" s="119"/>
      <c r="N137" s="119"/>
      <c r="O137" s="119"/>
      <c r="P137" s="183"/>
      <c r="Q137" s="119"/>
      <c r="R137" s="119"/>
      <c r="S137" s="119"/>
      <c r="T137" s="119"/>
      <c r="U137" s="119"/>
      <c r="V137" s="119"/>
      <c r="W137" s="119"/>
      <c r="X137" s="119"/>
      <c r="Y137" s="119"/>
      <c r="Z137" s="119"/>
      <c r="AA137" s="119"/>
      <c r="AB137" s="119"/>
      <c r="AC137" s="119"/>
      <c r="AD137" s="119"/>
      <c r="AE137" s="119"/>
    </row>
    <row r="138" spans="7:31" outlineLevel="1" x14ac:dyDescent="0.2">
      <c r="G138" s="313"/>
      <c r="H138" s="314"/>
      <c r="I138" s="81"/>
      <c r="J138" s="114" t="s">
        <v>645</v>
      </c>
      <c r="K138" s="125"/>
      <c r="L138" s="119"/>
      <c r="M138" s="119"/>
      <c r="N138" s="119"/>
      <c r="O138" s="119"/>
      <c r="P138" s="183"/>
      <c r="Q138" s="119"/>
      <c r="R138" s="119"/>
      <c r="S138" s="119"/>
      <c r="T138" s="119"/>
      <c r="U138" s="119"/>
      <c r="V138" s="119"/>
      <c r="W138" s="119"/>
      <c r="X138" s="119"/>
      <c r="Y138" s="119"/>
      <c r="Z138" s="119"/>
      <c r="AA138" s="119"/>
      <c r="AB138" s="119"/>
      <c r="AC138" s="119"/>
      <c r="AD138" s="119"/>
      <c r="AE138" s="119"/>
    </row>
    <row r="139" spans="7:31" outlineLevel="1" x14ac:dyDescent="0.2">
      <c r="G139" s="313"/>
      <c r="H139" s="314"/>
      <c r="I139" s="81"/>
      <c r="J139" s="114" t="s">
        <v>646</v>
      </c>
      <c r="K139" s="125"/>
      <c r="L139" s="119"/>
      <c r="M139" s="119"/>
      <c r="N139" s="119"/>
      <c r="O139" s="119"/>
      <c r="P139" s="183"/>
      <c r="Q139" s="119"/>
      <c r="R139" s="119"/>
      <c r="S139" s="119"/>
      <c r="T139" s="119"/>
      <c r="U139" s="119"/>
      <c r="V139" s="119"/>
      <c r="W139" s="119"/>
      <c r="X139" s="119"/>
      <c r="Y139" s="119"/>
      <c r="Z139" s="119"/>
      <c r="AA139" s="119"/>
      <c r="AB139" s="119"/>
      <c r="AC139" s="119"/>
      <c r="AD139" s="119"/>
      <c r="AE139" s="119"/>
    </row>
    <row r="140" spans="7:31" outlineLevel="1" x14ac:dyDescent="0.2">
      <c r="G140" s="313"/>
      <c r="H140" s="314"/>
      <c r="I140" s="114" t="s">
        <v>588</v>
      </c>
      <c r="J140" s="114"/>
      <c r="K140" s="120"/>
      <c r="L140" s="119"/>
      <c r="M140" s="119"/>
      <c r="N140" s="119"/>
      <c r="O140" s="119"/>
      <c r="P140" s="183"/>
      <c r="Q140" s="119"/>
      <c r="R140" s="119"/>
      <c r="S140" s="119"/>
      <c r="T140" s="119"/>
      <c r="U140" s="119"/>
      <c r="V140" s="119"/>
      <c r="W140" s="119"/>
      <c r="X140" s="119"/>
      <c r="Y140" s="119"/>
      <c r="Z140" s="119"/>
      <c r="AA140" s="119"/>
      <c r="AB140" s="119"/>
      <c r="AC140" s="119"/>
      <c r="AD140" s="119"/>
      <c r="AE140" s="119"/>
    </row>
    <row r="141" spans="7:31" outlineLevel="1" x14ac:dyDescent="0.2">
      <c r="G141" s="313"/>
      <c r="H141" s="314"/>
      <c r="I141" s="114" t="s">
        <v>589</v>
      </c>
      <c r="J141" s="114"/>
      <c r="K141" s="120"/>
      <c r="L141" s="192">
        <f>SUM(L142:L144)</f>
        <v>1</v>
      </c>
      <c r="M141" s="119"/>
      <c r="N141" s="119"/>
      <c r="O141" s="261">
        <f>SUM(N142:N144)</f>
        <v>0.32500000000000001</v>
      </c>
      <c r="P141" s="183"/>
      <c r="Q141" s="119"/>
      <c r="R141" s="119"/>
      <c r="S141" s="119"/>
      <c r="T141" s="119"/>
      <c r="U141" s="119"/>
      <c r="V141" s="119"/>
      <c r="W141" s="119"/>
      <c r="X141" s="119"/>
      <c r="Y141" s="119"/>
      <c r="Z141" s="119"/>
      <c r="AA141" s="119"/>
      <c r="AB141" s="119"/>
      <c r="AC141" s="119"/>
      <c r="AD141" s="119"/>
      <c r="AE141" s="119"/>
    </row>
    <row r="142" spans="7:31" outlineLevel="1" x14ac:dyDescent="0.2">
      <c r="G142" s="313"/>
      <c r="H142" s="314"/>
      <c r="I142" s="81"/>
      <c r="J142" s="114" t="s">
        <v>647</v>
      </c>
      <c r="K142" s="120"/>
      <c r="L142" s="192">
        <v>0.45</v>
      </c>
      <c r="M142" s="192">
        <v>0.25</v>
      </c>
      <c r="N142" s="192">
        <f>M142*L142</f>
        <v>0.1125</v>
      </c>
      <c r="O142" s="119"/>
      <c r="P142" s="183"/>
      <c r="Q142" s="119"/>
      <c r="R142" s="119"/>
      <c r="S142" s="119"/>
      <c r="T142" s="119"/>
      <c r="U142" s="119"/>
      <c r="V142" s="119"/>
      <c r="W142" s="119"/>
      <c r="X142" s="119"/>
      <c r="Y142" s="119"/>
      <c r="Z142" s="119"/>
      <c r="AA142" s="119"/>
      <c r="AB142" s="119"/>
      <c r="AC142" s="119"/>
      <c r="AD142" s="119"/>
      <c r="AE142" s="119"/>
    </row>
    <row r="143" spans="7:31" outlineLevel="1" x14ac:dyDescent="0.2">
      <c r="G143" s="313"/>
      <c r="H143" s="314"/>
      <c r="I143" s="81"/>
      <c r="J143" s="114" t="s">
        <v>648</v>
      </c>
      <c r="K143" s="120"/>
      <c r="L143" s="192">
        <v>0.45</v>
      </c>
      <c r="M143" s="192">
        <v>0.25</v>
      </c>
      <c r="N143" s="192">
        <f>M143*L143</f>
        <v>0.1125</v>
      </c>
      <c r="O143" s="119"/>
      <c r="P143" s="183"/>
      <c r="Q143" s="119"/>
      <c r="R143" s="119"/>
      <c r="S143" s="119"/>
      <c r="T143" s="119"/>
      <c r="U143" s="119"/>
      <c r="V143" s="119"/>
      <c r="W143" s="119"/>
      <c r="X143" s="119"/>
      <c r="Y143" s="119"/>
      <c r="Z143" s="119"/>
      <c r="AA143" s="119"/>
      <c r="AB143" s="119"/>
      <c r="AC143" s="119"/>
      <c r="AD143" s="119"/>
      <c r="AE143" s="119"/>
    </row>
    <row r="144" spans="7:31" outlineLevel="1" x14ac:dyDescent="0.2">
      <c r="G144" s="313"/>
      <c r="H144" s="314"/>
      <c r="I144" s="81"/>
      <c r="J144" s="114" t="s">
        <v>649</v>
      </c>
      <c r="K144" s="120"/>
      <c r="L144" s="192">
        <v>0.1</v>
      </c>
      <c r="M144" s="192">
        <v>1</v>
      </c>
      <c r="N144" s="192">
        <f>M144*L144</f>
        <v>0.1</v>
      </c>
      <c r="O144" s="119"/>
      <c r="P144" s="183"/>
      <c r="Q144" s="119"/>
      <c r="R144" s="119"/>
      <c r="S144" s="119"/>
      <c r="T144" s="119"/>
      <c r="U144" s="119"/>
      <c r="V144" s="119"/>
      <c r="W144" s="119"/>
      <c r="X144" s="119"/>
      <c r="Y144" s="119"/>
      <c r="Z144" s="119"/>
      <c r="AA144" s="119"/>
      <c r="AB144" s="119"/>
      <c r="AC144" s="119"/>
      <c r="AD144" s="119"/>
      <c r="AE144" s="119"/>
    </row>
    <row r="145" spans="7:31" outlineLevel="1" x14ac:dyDescent="0.2">
      <c r="G145" s="313"/>
      <c r="H145" s="314"/>
      <c r="I145" s="114" t="s">
        <v>587</v>
      </c>
      <c r="J145" s="120"/>
      <c r="K145" s="120"/>
      <c r="L145" s="119"/>
      <c r="M145" s="119"/>
      <c r="N145" s="119"/>
      <c r="O145" s="261">
        <f>SUM(N146:N148)</f>
        <v>0.2</v>
      </c>
      <c r="P145" s="183"/>
      <c r="Q145" s="119"/>
      <c r="R145" s="119"/>
      <c r="S145" s="119"/>
      <c r="T145" s="119"/>
      <c r="U145" s="119"/>
      <c r="V145" s="119"/>
      <c r="W145" s="119"/>
      <c r="X145" s="119"/>
      <c r="Y145" s="119"/>
      <c r="Z145" s="119"/>
      <c r="AA145" s="119"/>
      <c r="AB145" s="119"/>
      <c r="AC145" s="119"/>
      <c r="AD145" s="119"/>
      <c r="AE145" s="119"/>
    </row>
    <row r="146" spans="7:31" outlineLevel="1" x14ac:dyDescent="0.2">
      <c r="G146" s="313"/>
      <c r="H146" s="314"/>
      <c r="I146" s="81"/>
      <c r="J146" s="114" t="s">
        <v>650</v>
      </c>
      <c r="K146" s="120"/>
      <c r="L146" s="192">
        <v>0.5</v>
      </c>
      <c r="M146" s="192">
        <v>0.2</v>
      </c>
      <c r="N146" s="192">
        <f>M146*L146</f>
        <v>0.1</v>
      </c>
      <c r="O146" s="119"/>
      <c r="P146" s="183"/>
      <c r="Q146" s="119"/>
      <c r="R146" s="119"/>
      <c r="S146" s="119"/>
      <c r="T146" s="119"/>
      <c r="U146" s="119"/>
      <c r="V146" s="119"/>
      <c r="W146" s="119"/>
      <c r="X146" s="119"/>
      <c r="Y146" s="119"/>
      <c r="Z146" s="119"/>
      <c r="AA146" s="119"/>
      <c r="AB146" s="119"/>
      <c r="AC146" s="119"/>
      <c r="AD146" s="119"/>
      <c r="AE146" s="119"/>
    </row>
    <row r="147" spans="7:31" outlineLevel="1" x14ac:dyDescent="0.2">
      <c r="G147" s="313"/>
      <c r="H147" s="314"/>
      <c r="I147" s="81"/>
      <c r="J147" s="114" t="s">
        <v>651</v>
      </c>
      <c r="K147" s="125"/>
      <c r="L147" s="192">
        <v>0.25</v>
      </c>
      <c r="M147" s="192">
        <v>0.2</v>
      </c>
      <c r="N147" s="192">
        <f>M147*L147</f>
        <v>0.05</v>
      </c>
      <c r="O147" s="119"/>
      <c r="P147" s="183"/>
      <c r="Q147" s="119"/>
      <c r="R147" s="119"/>
      <c r="S147" s="119"/>
      <c r="T147" s="119"/>
      <c r="U147" s="119"/>
      <c r="V147" s="119"/>
      <c r="W147" s="119"/>
      <c r="X147" s="119"/>
      <c r="Y147" s="119"/>
      <c r="Z147" s="119"/>
      <c r="AA147" s="119"/>
      <c r="AB147" s="119"/>
      <c r="AC147" s="119"/>
      <c r="AD147" s="119"/>
      <c r="AE147" s="119"/>
    </row>
    <row r="148" spans="7:31" outlineLevel="1" x14ac:dyDescent="0.2">
      <c r="G148" s="313"/>
      <c r="H148" s="314"/>
      <c r="I148" s="81"/>
      <c r="J148" s="114" t="s">
        <v>652</v>
      </c>
      <c r="K148" s="125"/>
      <c r="L148" s="192">
        <v>0.25</v>
      </c>
      <c r="M148" s="192">
        <v>0.2</v>
      </c>
      <c r="N148" s="192">
        <f>M148*L148</f>
        <v>0.05</v>
      </c>
      <c r="O148" s="119"/>
      <c r="P148" s="183"/>
      <c r="Q148" s="119"/>
      <c r="R148" s="119"/>
      <c r="S148" s="119"/>
      <c r="T148" s="119"/>
      <c r="U148" s="119"/>
      <c r="V148" s="119"/>
      <c r="W148" s="119"/>
      <c r="X148" s="119"/>
      <c r="Y148" s="119"/>
      <c r="Z148" s="119"/>
      <c r="AA148" s="119"/>
      <c r="AB148" s="119"/>
      <c r="AC148" s="119"/>
      <c r="AD148" s="119"/>
      <c r="AE148" s="119"/>
    </row>
    <row r="149" spans="7:31" outlineLevel="1" x14ac:dyDescent="0.2">
      <c r="G149" s="313"/>
      <c r="H149" s="314"/>
      <c r="I149" s="81"/>
      <c r="J149" s="120"/>
      <c r="K149" s="120"/>
      <c r="L149" s="119"/>
      <c r="M149" s="119"/>
      <c r="N149" s="119"/>
      <c r="O149" s="119"/>
      <c r="P149" s="183"/>
      <c r="Q149" s="119"/>
      <c r="R149" s="119"/>
      <c r="S149" s="119"/>
      <c r="T149" s="119"/>
      <c r="U149" s="119"/>
      <c r="V149" s="119"/>
      <c r="W149" s="119"/>
      <c r="X149" s="119"/>
      <c r="Y149" s="119"/>
      <c r="Z149" s="119"/>
      <c r="AA149" s="119"/>
      <c r="AB149" s="119"/>
      <c r="AC149" s="119"/>
      <c r="AD149" s="119"/>
      <c r="AE149" s="119"/>
    </row>
    <row r="150" spans="7:31" outlineLevel="1" x14ac:dyDescent="0.2">
      <c r="G150" s="313"/>
      <c r="H150" s="313"/>
      <c r="I150" s="138"/>
      <c r="J150" s="138"/>
      <c r="K150" s="138"/>
      <c r="L150" s="138"/>
      <c r="M150" s="138"/>
      <c r="N150" s="138"/>
      <c r="O150" s="138"/>
      <c r="P150" s="138"/>
      <c r="Q150" s="138"/>
      <c r="R150" s="138"/>
      <c r="S150" s="138"/>
      <c r="T150" s="138"/>
      <c r="U150" s="138"/>
      <c r="V150" s="138"/>
      <c r="W150" s="138"/>
      <c r="X150" s="138"/>
      <c r="Y150" s="138"/>
      <c r="Z150" s="138"/>
      <c r="AA150" s="138"/>
      <c r="AB150" s="138"/>
      <c r="AC150" s="138"/>
      <c r="AD150" s="138"/>
      <c r="AE150" s="138"/>
    </row>
    <row r="151" spans="7:31" outlineLevel="1" x14ac:dyDescent="0.2">
      <c r="G151" s="313"/>
      <c r="H151" s="313"/>
      <c r="I151" s="103" t="s">
        <v>355</v>
      </c>
      <c r="J151" s="104"/>
      <c r="K151" s="93"/>
      <c r="L151" s="123"/>
      <c r="M151" s="123"/>
      <c r="N151" s="123"/>
      <c r="O151" s="123"/>
      <c r="P151" s="123"/>
      <c r="Q151" s="123"/>
      <c r="R151" s="123"/>
      <c r="S151" s="123"/>
      <c r="T151" s="123"/>
      <c r="U151" s="123"/>
      <c r="V151" s="123"/>
      <c r="W151" s="123"/>
      <c r="X151" s="123"/>
      <c r="Y151" s="123"/>
      <c r="Z151" s="123"/>
      <c r="AA151" s="123"/>
      <c r="AB151" s="123"/>
      <c r="AC151" s="123"/>
      <c r="AD151" s="123"/>
      <c r="AE151" s="123"/>
    </row>
    <row r="152" spans="7:31" outlineLevel="1" x14ac:dyDescent="0.2">
      <c r="G152" s="313"/>
      <c r="H152" s="313"/>
      <c r="I152" s="96"/>
      <c r="J152" s="129"/>
      <c r="K152" s="129" t="s">
        <v>653</v>
      </c>
      <c r="L152" s="123"/>
      <c r="M152" s="123"/>
      <c r="N152" s="188"/>
      <c r="O152" s="188"/>
      <c r="P152" s="188"/>
      <c r="Q152" s="188"/>
      <c r="R152" s="188"/>
      <c r="S152" s="188"/>
      <c r="T152" s="188"/>
      <c r="U152" s="188"/>
      <c r="V152" s="188"/>
      <c r="W152" s="188"/>
      <c r="X152" s="188"/>
      <c r="Y152" s="188"/>
      <c r="Z152" s="188"/>
      <c r="AA152" s="188"/>
      <c r="AB152" s="188"/>
      <c r="AC152" s="188"/>
      <c r="AD152" s="188"/>
      <c r="AE152" s="188"/>
    </row>
    <row r="153" spans="7:31" outlineLevel="1" x14ac:dyDescent="0.2">
      <c r="G153" s="313"/>
      <c r="H153" s="313"/>
      <c r="I153" s="96"/>
      <c r="J153" s="129"/>
      <c r="K153" s="129" t="s">
        <v>260</v>
      </c>
      <c r="L153" s="123"/>
      <c r="M153" s="123"/>
      <c r="N153" s="188"/>
      <c r="O153" s="188"/>
      <c r="P153" s="188">
        <f t="shared" ref="P153:P158" si="18">P69*USD_to_CAD*P$190*1000*V69/1000000</f>
        <v>6.9063108537493381E-2</v>
      </c>
      <c r="Q153" s="188"/>
      <c r="R153" s="188" cm="1">
        <f t="array" ref="R153:R158">$P$153:$P$158</f>
        <v>6.9063108537493381E-2</v>
      </c>
      <c r="S153" s="188" cm="1">
        <f t="array" ref="S153:S158">$P$153:$P$158*$Q$69:$Q$74*(1+$R$83)^(S4-$R$4)+ ($P$153:$P$158*(1-$Q$69:$Q$74))</f>
        <v>7.024063453805765E-2</v>
      </c>
      <c r="T153" s="188" cm="1">
        <f t="array" ref="T153:T158">$P$153:$P$158*$Q$69:$Q$74*(1+$R$83)^(T4-$R$4)+ ($P$153:$P$158*(1-$Q$69:$Q$74))</f>
        <v>7.14417110586332E-2</v>
      </c>
      <c r="U153" s="188" cm="1">
        <f t="array" ref="U153:U158">$P$153:$P$158*$Q$69:$Q$74*(1+$R$83)^(U4-$R$4)+ ($P$153:$P$158*(1-$Q$69:$Q$74))</f>
        <v>7.2666809109620242E-2</v>
      </c>
      <c r="V153" s="188" cm="1">
        <f t="array" ref="V153:V158">$P$153:$P$158*$Q$69:$Q$74*(1+$R$83)^(V4-$R$4)+ ($P$153:$P$158*(1-$Q$69:$Q$74))</f>
        <v>7.3916409121627058E-2</v>
      </c>
      <c r="W153" s="188" cm="1">
        <f t="array" ref="W153:W158">$P$153:$P$158*$Q$69:$Q$74*(1+$R$83)^(W4-$R$4)+ ($P$153:$P$158*(1-$Q$69:$Q$74))</f>
        <v>7.5191001133873989E-2</v>
      </c>
      <c r="X153" s="188" cm="1">
        <f t="array" ref="X153:X158">$P$153:$P$158*$Q$69:$Q$74*(1+$R$83)^(X4-$R$4)+ ($P$153:$P$158*(1-$Q$69:$Q$74))</f>
        <v>7.6491084986365865E-2</v>
      </c>
      <c r="Y153" s="188" cm="1">
        <f t="array" ref="Y153:Y158">$P$153:$P$158*$Q$69:$Q$74*(1+$R$83)^(Y4-$R$4)+ ($P$153:$P$158*(1-$Q$69:$Q$74))</f>
        <v>7.7817170515907572E-2</v>
      </c>
      <c r="Z153" s="188" cm="1">
        <f t="array" ref="Z153:Z158">$P$153:$P$158*$Q$69:$Q$74*(1+$R$83)^(Z4-$R$4)+ ($P$153:$P$158*(1-$Q$69:$Q$74))</f>
        <v>7.9169777756040116E-2</v>
      </c>
      <c r="AA153" s="188" cm="1">
        <f t="array" ref="AA153:AA158">$P$153:$P$158*$Q$69:$Q$74*(1+$R$83)^(AA4-$R$4)+ ($P$153:$P$158*(1-$Q$69:$Q$74))</f>
        <v>8.0549437140975316E-2</v>
      </c>
      <c r="AB153" s="188" cm="1">
        <f t="array" ref="AB153:AB158">$P$153:$P$158*$Q$69:$Q$74*(1+$R$83)^(AB4-$R$4)+ ($P$153:$P$158*(1-$Q$69:$Q$74))</f>
        <v>8.1956689713609226E-2</v>
      </c>
      <c r="AC153" s="188" cm="1">
        <f t="array" ref="AC153:AC158">$P$153:$P$158*$Q$69:$Q$74*(1+$R$83)^(AC4-$R$4)+ ($P$153:$P$158*(1-$Q$69:$Q$74))</f>
        <v>8.3392087337695792E-2</v>
      </c>
      <c r="AD153" s="188" cm="1">
        <f t="array" ref="AD153:AD158">$P$153:$P$158*$Q$69:$Q$74*(1+$R$83)^(AD4-$R$4)+ ($P$153:$P$158*(1-$Q$69:$Q$74))</f>
        <v>8.4856192914264106E-2</v>
      </c>
      <c r="AE153" s="188" cm="1">
        <f t="array" ref="AE153:AE158">$P$153:$P$158*$Q$69:$Q$74*(1+$R$83)^(AE4-$R$4)+ ($P$153:$P$158*(1-$Q$69:$Q$74))</f>
        <v>8.6349580602363779E-2</v>
      </c>
    </row>
    <row r="154" spans="7:31" outlineLevel="1" x14ac:dyDescent="0.2">
      <c r="G154" s="313"/>
      <c r="H154" s="313"/>
      <c r="I154" s="96"/>
      <c r="J154" s="129"/>
      <c r="K154" s="129" t="s">
        <v>261</v>
      </c>
      <c r="L154" s="123"/>
      <c r="M154" s="123"/>
      <c r="N154" s="188"/>
      <c r="O154" s="188"/>
      <c r="P154" s="188">
        <f t="shared" si="18"/>
        <v>4.2404754420384071E-2</v>
      </c>
      <c r="Q154" s="188"/>
      <c r="R154" s="188">
        <v>4.2404754420384071E-2</v>
      </c>
      <c r="S154" s="188">
        <v>4.314683762274079E-2</v>
      </c>
      <c r="T154" s="188">
        <v>4.3903762489144647E-2</v>
      </c>
      <c r="U154" s="188">
        <v>4.4675825852876577E-2</v>
      </c>
      <c r="V154" s="188">
        <v>4.5463330483883152E-2</v>
      </c>
      <c r="W154" s="188">
        <v>4.6266585207509855E-2</v>
      </c>
      <c r="X154" s="188">
        <v>4.7085905025609096E-2</v>
      </c>
      <c r="Y154" s="188">
        <v>4.7921611240070307E-2</v>
      </c>
      <c r="Z154" s="188">
        <v>4.8774031578820758E-2</v>
      </c>
      <c r="AA154" s="188">
        <v>4.964350032434621E-2</v>
      </c>
      <c r="AB154" s="188">
        <v>5.0530358444782181E-2</v>
      </c>
      <c r="AC154" s="188">
        <v>5.1434953727626853E-2</v>
      </c>
      <c r="AD154" s="188">
        <v>5.2357640916128441E-2</v>
      </c>
      <c r="AE154" s="188">
        <v>5.3298781848400041E-2</v>
      </c>
    </row>
    <row r="155" spans="7:31" outlineLevel="1" x14ac:dyDescent="0.2">
      <c r="G155" s="313"/>
      <c r="H155" s="313"/>
      <c r="I155" s="96"/>
      <c r="J155" s="129"/>
      <c r="K155" s="129" t="s">
        <v>262</v>
      </c>
      <c r="L155" s="123"/>
      <c r="M155" s="123"/>
      <c r="N155" s="188"/>
      <c r="O155" s="188"/>
      <c r="P155" s="188">
        <f t="shared" si="18"/>
        <v>0.29138384737769757</v>
      </c>
      <c r="Q155" s="188"/>
      <c r="R155" s="188">
        <v>0.29138384737769757</v>
      </c>
      <c r="S155" s="188">
        <v>0.29254938276720838</v>
      </c>
      <c r="T155" s="188">
        <v>0.2937382288645094</v>
      </c>
      <c r="U155" s="188">
        <v>0.29495085188375642</v>
      </c>
      <c r="V155" s="188">
        <v>0.29618772736338839</v>
      </c>
      <c r="W155" s="188">
        <v>0.29744934035261295</v>
      </c>
      <c r="X155" s="188">
        <v>0.29873618560162207</v>
      </c>
      <c r="Y155" s="188">
        <v>0.30004876775561135</v>
      </c>
      <c r="Z155" s="188">
        <v>0.30138760155268041</v>
      </c>
      <c r="AA155" s="188">
        <v>0.30275321202569083</v>
      </c>
      <c r="AB155" s="188">
        <v>0.30414613470816154</v>
      </c>
      <c r="AC155" s="188">
        <v>0.30556691584428158</v>
      </c>
      <c r="AD155" s="188">
        <v>0.30701611260312406</v>
      </c>
      <c r="AE155" s="188">
        <v>0.3084942932971434</v>
      </c>
    </row>
    <row r="156" spans="7:31" outlineLevel="1" x14ac:dyDescent="0.2">
      <c r="G156" s="313"/>
      <c r="H156" s="313"/>
      <c r="I156" s="96"/>
      <c r="J156" s="129"/>
      <c r="K156" s="129" t="s">
        <v>263</v>
      </c>
      <c r="L156" s="123"/>
      <c r="M156" s="123"/>
      <c r="N156" s="188"/>
      <c r="O156" s="188"/>
      <c r="P156" s="188">
        <f t="shared" si="18"/>
        <v>0.15339661451793102</v>
      </c>
      <c r="Q156" s="188"/>
      <c r="R156" s="188">
        <v>0.15339661451793102</v>
      </c>
      <c r="S156" s="188">
        <v>0.15339661451793102</v>
      </c>
      <c r="T156" s="188">
        <v>0.15339661451793102</v>
      </c>
      <c r="U156" s="188">
        <v>0.15339661451793102</v>
      </c>
      <c r="V156" s="188">
        <v>0.15339661451793102</v>
      </c>
      <c r="W156" s="188">
        <v>0.15339661451793102</v>
      </c>
      <c r="X156" s="188">
        <v>0.15339661451793102</v>
      </c>
      <c r="Y156" s="188">
        <v>0.15339661451793102</v>
      </c>
      <c r="Z156" s="188">
        <v>0.15339661451793102</v>
      </c>
      <c r="AA156" s="188">
        <v>0.15339661451793102</v>
      </c>
      <c r="AB156" s="188">
        <v>0.15339661451793102</v>
      </c>
      <c r="AC156" s="188">
        <v>0.15339661451793102</v>
      </c>
      <c r="AD156" s="188">
        <v>0.15339661451793102</v>
      </c>
      <c r="AE156" s="188">
        <v>0.15339661451793102</v>
      </c>
    </row>
    <row r="157" spans="7:31" outlineLevel="1" x14ac:dyDescent="0.2">
      <c r="G157" s="313"/>
      <c r="H157" s="313"/>
      <c r="I157" s="96"/>
      <c r="J157" s="129"/>
      <c r="K157" s="129" t="s">
        <v>264</v>
      </c>
      <c r="L157" s="123"/>
      <c r="M157" s="123"/>
      <c r="N157" s="188"/>
      <c r="O157" s="188"/>
      <c r="P157" s="188">
        <f t="shared" si="18"/>
        <v>0.16053065870639549</v>
      </c>
      <c r="Q157" s="188"/>
      <c r="R157" s="188">
        <v>0.16053065870639549</v>
      </c>
      <c r="S157" s="188">
        <v>0.16157410798798708</v>
      </c>
      <c r="T157" s="188">
        <v>0.16263842625521047</v>
      </c>
      <c r="U157" s="188">
        <v>0.16372403088777834</v>
      </c>
      <c r="V157" s="188">
        <v>0.16483134761299756</v>
      </c>
      <c r="W157" s="188">
        <v>0.16596081067272117</v>
      </c>
      <c r="X157" s="188">
        <v>0.16711286299363926</v>
      </c>
      <c r="Y157" s="188">
        <v>0.16828795636097571</v>
      </c>
      <c r="Z157" s="188">
        <v>0.1694865515956589</v>
      </c>
      <c r="AA157" s="188">
        <v>0.17070911873503572</v>
      </c>
      <c r="AB157" s="188">
        <v>0.1719561372172001</v>
      </c>
      <c r="AC157" s="188">
        <v>0.17322809606900774</v>
      </c>
      <c r="AD157" s="188">
        <v>0.17452549409785156</v>
      </c>
      <c r="AE157" s="188">
        <v>0.17584884008727225</v>
      </c>
    </row>
    <row r="158" spans="7:31" outlineLevel="1" x14ac:dyDescent="0.2">
      <c r="G158" s="313"/>
      <c r="H158" s="313"/>
      <c r="I158" s="96"/>
      <c r="J158" s="129"/>
      <c r="K158" s="129" t="s">
        <v>265</v>
      </c>
      <c r="L158" s="123"/>
      <c r="M158" s="123"/>
      <c r="N158" s="188"/>
      <c r="O158" s="188"/>
      <c r="P158" s="188">
        <f t="shared" si="18"/>
        <v>0.50237391254622399</v>
      </c>
      <c r="Q158" s="188"/>
      <c r="R158" s="188">
        <v>0.50237391254622399</v>
      </c>
      <c r="S158" s="188">
        <v>0.50237391254622399</v>
      </c>
      <c r="T158" s="188">
        <v>0.50237391254622399</v>
      </c>
      <c r="U158" s="188">
        <v>0.50237391254622399</v>
      </c>
      <c r="V158" s="188">
        <v>0.50237391254622399</v>
      </c>
      <c r="W158" s="188">
        <v>0.50237391254622399</v>
      </c>
      <c r="X158" s="188">
        <v>0.50237391254622399</v>
      </c>
      <c r="Y158" s="188">
        <v>0.50237391254622399</v>
      </c>
      <c r="Z158" s="188">
        <v>0.50237391254622399</v>
      </c>
      <c r="AA158" s="188">
        <v>0.50237391254622399</v>
      </c>
      <c r="AB158" s="188">
        <v>0.50237391254622399</v>
      </c>
      <c r="AC158" s="188">
        <v>0.50237391254622399</v>
      </c>
      <c r="AD158" s="188">
        <v>0.50237391254622399</v>
      </c>
      <c r="AE158" s="188">
        <v>0.50237391254622399</v>
      </c>
    </row>
    <row r="159" spans="7:31" outlineLevel="1" x14ac:dyDescent="0.2">
      <c r="G159" s="313"/>
      <c r="H159" s="313"/>
      <c r="I159" s="103" t="s">
        <v>654</v>
      </c>
      <c r="J159" s="104"/>
      <c r="K159" s="93"/>
      <c r="L159" s="123"/>
      <c r="M159" s="123"/>
      <c r="N159" s="188"/>
      <c r="O159" s="188"/>
      <c r="P159" s="188"/>
      <c r="Q159" s="188"/>
      <c r="R159" s="188"/>
      <c r="S159" s="188"/>
      <c r="T159" s="188"/>
      <c r="U159" s="188"/>
      <c r="V159" s="188"/>
      <c r="W159" s="188"/>
      <c r="X159" s="188"/>
      <c r="Y159" s="188"/>
      <c r="Z159" s="188"/>
      <c r="AA159" s="188"/>
      <c r="AB159" s="188"/>
      <c r="AC159" s="188"/>
      <c r="AD159" s="188"/>
      <c r="AE159" s="188"/>
    </row>
    <row r="160" spans="7:31" outlineLevel="1" x14ac:dyDescent="0.2">
      <c r="G160" s="313"/>
      <c r="H160" s="313"/>
      <c r="I160" s="96"/>
      <c r="J160" s="129"/>
      <c r="K160" s="129" t="s">
        <v>653</v>
      </c>
      <c r="L160" s="123"/>
      <c r="M160" s="123"/>
      <c r="N160" s="188"/>
      <c r="O160" s="188"/>
      <c r="P160" s="188"/>
      <c r="Q160" s="188"/>
      <c r="R160" s="188"/>
      <c r="S160" s="188"/>
      <c r="T160" s="188"/>
      <c r="U160" s="188"/>
      <c r="V160" s="188"/>
      <c r="W160" s="188"/>
      <c r="X160" s="188"/>
      <c r="Y160" s="188"/>
      <c r="Z160" s="188"/>
      <c r="AA160" s="188"/>
      <c r="AB160" s="188"/>
      <c r="AC160" s="188"/>
      <c r="AD160" s="188"/>
      <c r="AE160" s="188"/>
    </row>
    <row r="161" spans="7:31" outlineLevel="1" x14ac:dyDescent="0.2">
      <c r="G161" s="313"/>
      <c r="H161" s="313"/>
      <c r="I161" s="96"/>
      <c r="J161" s="129"/>
      <c r="K161" s="129" t="s">
        <v>260</v>
      </c>
      <c r="L161" s="123"/>
      <c r="M161" s="123"/>
      <c r="N161" s="188"/>
      <c r="O161" s="188"/>
      <c r="P161" s="188">
        <f t="shared" ref="P161:P166" si="19">P69*USD_to_CAD*P$190*1000*W69/1000000</f>
        <v>7.5294115951207385E-2</v>
      </c>
      <c r="Q161" s="188"/>
      <c r="R161" s="188" cm="1">
        <f t="array" ref="R161:R166">$P$161:$P$166</f>
        <v>7.5294115951207385E-2</v>
      </c>
      <c r="S161" s="188" cm="1">
        <f t="array" ref="S161:S166">$P$161:$P$166*$Q$69:$Q$74*(1+$R$83)^(S4-$R$4)+ ($P$161:$P$166*(1-$Q$69:$Q$74))</f>
        <v>7.6577880628175471E-2</v>
      </c>
      <c r="T161" s="188" cm="1">
        <f t="array" ref="T161:T166">$P$161:$P$166*$Q$69:$Q$74*(1+$R$83)^(T4-$R$4)+ ($P$161:$P$166*(1-$Q$69:$Q$74))</f>
        <v>7.7887320598682919E-2</v>
      </c>
      <c r="U161" s="188" cm="1">
        <f t="array" ref="U161:U166">$P$161:$P$166*$Q$69:$Q$74*(1+$R$83)^(U4-$R$4)+ ($P$161:$P$166*(1-$Q$69:$Q$74))</f>
        <v>7.9222949368600512E-2</v>
      </c>
      <c r="V161" s="188" cm="1">
        <f t="array" ref="V161:V166">$P$161:$P$166*$Q$69:$Q$74*(1+$R$83)^(V4-$R$4)+ ($P$161:$P$166*(1-$Q$69:$Q$74))</f>
        <v>8.0585290713916458E-2</v>
      </c>
      <c r="W161" s="188" cm="1">
        <f t="array" ref="W161:W166">$P$161:$P$166*$Q$69:$Q$74*(1+$R$83)^(W4-$R$4)+ ($P$161:$P$166*(1-$Q$69:$Q$74))</f>
        <v>8.1974878886138733E-2</v>
      </c>
      <c r="X161" s="188" cm="1">
        <f t="array" ref="X161:X166">$P$161:$P$166*$Q$69:$Q$74*(1+$R$83)^(X4-$R$4)+ ($P$161:$P$166*(1-$Q$69:$Q$74))</f>
        <v>8.3392258821805454E-2</v>
      </c>
      <c r="Y161" s="188" cm="1">
        <f t="array" ref="Y161:Y166">$P$161:$P$166*$Q$69:$Q$74*(1+$R$83)^(Y4-$R$4)+ ($P$161:$P$166*(1-$Q$69:$Q$74))</f>
        <v>8.4837986356185474E-2</v>
      </c>
      <c r="Z161" s="188" cm="1">
        <f t="array" ref="Z161:Z166">$P$161:$P$166*$Q$69:$Q$74*(1+$R$83)^(Z4-$R$4)+ ($P$161:$P$166*(1-$Q$69:$Q$74))</f>
        <v>8.6312628441253134E-2</v>
      </c>
      <c r="AA161" s="188" cm="1">
        <f t="array" ref="AA161:AA166">$P$161:$P$166*$Q$69:$Q$74*(1+$R$83)^(AA4-$R$4)+ ($P$161:$P$166*(1-$Q$69:$Q$74))</f>
        <v>8.7816763368022133E-2</v>
      </c>
      <c r="AB161" s="188" cm="1">
        <f t="array" ref="AB161:AB166">$P$161:$P$166*$Q$69:$Q$74*(1+$R$83)^(AB4-$R$4)+ ($P$161:$P$166*(1-$Q$69:$Q$74))</f>
        <v>8.9350980993326515E-2</v>
      </c>
      <c r="AC161" s="188" cm="1">
        <f t="array" ref="AC161:AC166">$P$161:$P$166*$Q$69:$Q$74*(1+$R$83)^(AC4-$R$4)+ ($P$161:$P$166*(1-$Q$69:$Q$74))</f>
        <v>9.091588297113698E-2</v>
      </c>
      <c r="AD161" s="188" cm="1">
        <f t="array" ref="AD161:AD166">$P$161:$P$166*$Q$69:$Q$74*(1+$R$83)^(AD4-$R$4)+ ($P$161:$P$166*(1-$Q$69:$Q$74))</f>
        <v>9.2512082988503663E-2</v>
      </c>
      <c r="AE161" s="188" cm="1">
        <f t="array" ref="AE161:AE166">$P$161:$P$166*$Q$69:$Q$74*(1+$R$83)^(AE4-$R$4)+ ($P$161:$P$166*(1-$Q$69:$Q$74))</f>
        <v>9.4140207006217669E-2</v>
      </c>
    </row>
    <row r="162" spans="7:31" outlineLevel="1" x14ac:dyDescent="0.2">
      <c r="G162" s="313"/>
      <c r="H162" s="313"/>
      <c r="I162" s="96"/>
      <c r="J162" s="129"/>
      <c r="K162" s="129" t="s">
        <v>261</v>
      </c>
      <c r="L162" s="123"/>
      <c r="M162" s="123"/>
      <c r="N162" s="188"/>
      <c r="O162" s="188"/>
      <c r="P162" s="188">
        <f t="shared" si="19"/>
        <v>4.4912161768163976E-2</v>
      </c>
      <c r="Q162" s="188"/>
      <c r="R162" s="188">
        <v>4.4912161768163976E-2</v>
      </c>
      <c r="S162" s="188">
        <v>4.5698124599106847E-2</v>
      </c>
      <c r="T162" s="188">
        <v>4.6499806686668574E-2</v>
      </c>
      <c r="U162" s="188">
        <v>4.7317522415981528E-2</v>
      </c>
      <c r="V162" s="188">
        <v>4.8151592459880752E-2</v>
      </c>
      <c r="W162" s="188">
        <v>4.9002343904657963E-2</v>
      </c>
      <c r="X162" s="188">
        <v>4.9870110378330709E-2</v>
      </c>
      <c r="Y162" s="188">
        <v>5.0755232181476907E-2</v>
      </c>
      <c r="Z162" s="188">
        <v>5.1658056420686035E-2</v>
      </c>
      <c r="AA162" s="188">
        <v>5.2578937144679351E-2</v>
      </c>
      <c r="AB162" s="188">
        <v>5.3518235483152529E-2</v>
      </c>
      <c r="AC162" s="188">
        <v>5.4476319788395157E-2</v>
      </c>
      <c r="AD162" s="188">
        <v>5.5453565779742663E-2</v>
      </c>
      <c r="AE162" s="188">
        <v>5.6450356690917101E-2</v>
      </c>
    </row>
    <row r="163" spans="7:31" outlineLevel="1" x14ac:dyDescent="0.2">
      <c r="G163" s="313"/>
      <c r="H163" s="313"/>
      <c r="I163" s="96"/>
      <c r="J163" s="129"/>
      <c r="K163" s="129" t="s">
        <v>262</v>
      </c>
      <c r="L163" s="123"/>
      <c r="M163" s="123"/>
      <c r="N163" s="188"/>
      <c r="O163" s="188"/>
      <c r="P163" s="188">
        <f t="shared" si="19"/>
        <v>0.28846532711099282</v>
      </c>
      <c r="Q163" s="188"/>
      <c r="R163" s="188">
        <v>0.28846532711099282</v>
      </c>
      <c r="S163" s="188">
        <v>0.28961918841943679</v>
      </c>
      <c r="T163" s="188">
        <v>0.29079612695404966</v>
      </c>
      <c r="U163" s="188">
        <v>0.29199660425935475</v>
      </c>
      <c r="V163" s="188">
        <v>0.293221091110766</v>
      </c>
      <c r="W163" s="188">
        <v>0.29447006769920542</v>
      </c>
      <c r="X163" s="188">
        <v>0.29574402381941367</v>
      </c>
      <c r="Y163" s="188">
        <v>0.29704345906202601</v>
      </c>
      <c r="Z163" s="188">
        <v>0.29836888300949066</v>
      </c>
      <c r="AA163" s="188">
        <v>0.29972081543590456</v>
      </c>
      <c r="AB163" s="188">
        <v>0.30109978651084679</v>
      </c>
      <c r="AC163" s="188">
        <v>0.30250633700728785</v>
      </c>
      <c r="AD163" s="188">
        <v>0.30394101851365773</v>
      </c>
      <c r="AE163" s="188">
        <v>0.30540439365015498</v>
      </c>
    </row>
    <row r="164" spans="7:31" outlineLevel="1" x14ac:dyDescent="0.2">
      <c r="G164" s="313"/>
      <c r="H164" s="313"/>
      <c r="I164" s="96"/>
      <c r="J164" s="129"/>
      <c r="K164" s="129" t="s">
        <v>263</v>
      </c>
      <c r="L164" s="123"/>
      <c r="M164" s="123"/>
      <c r="N164" s="188"/>
      <c r="O164" s="188"/>
      <c r="P164" s="188">
        <f t="shared" si="19"/>
        <v>0.15339661451793102</v>
      </c>
      <c r="Q164" s="188"/>
      <c r="R164" s="188">
        <v>0.15339661451793102</v>
      </c>
      <c r="S164" s="188">
        <v>0.15339661451793102</v>
      </c>
      <c r="T164" s="188">
        <v>0.15339661451793102</v>
      </c>
      <c r="U164" s="188">
        <v>0.15339661451793102</v>
      </c>
      <c r="V164" s="188">
        <v>0.15339661451793102</v>
      </c>
      <c r="W164" s="188">
        <v>0.15339661451793102</v>
      </c>
      <c r="X164" s="188">
        <v>0.15339661451793102</v>
      </c>
      <c r="Y164" s="188">
        <v>0.15339661451793102</v>
      </c>
      <c r="Z164" s="188">
        <v>0.15339661451793102</v>
      </c>
      <c r="AA164" s="188">
        <v>0.15339661451793102</v>
      </c>
      <c r="AB164" s="188">
        <v>0.15339661451793102</v>
      </c>
      <c r="AC164" s="188">
        <v>0.15339661451793102</v>
      </c>
      <c r="AD164" s="188">
        <v>0.15339661451793102</v>
      </c>
      <c r="AE164" s="188">
        <v>0.15339661451793102</v>
      </c>
    </row>
    <row r="165" spans="7:31" outlineLevel="1" x14ac:dyDescent="0.2">
      <c r="G165" s="313"/>
      <c r="H165" s="313"/>
      <c r="I165" s="96"/>
      <c r="J165" s="129"/>
      <c r="K165" s="129" t="s">
        <v>264</v>
      </c>
      <c r="L165" s="123"/>
      <c r="M165" s="123"/>
      <c r="N165" s="188"/>
      <c r="O165" s="188"/>
      <c r="P165" s="188">
        <f t="shared" si="19"/>
        <v>0.17013054859524293</v>
      </c>
      <c r="Q165" s="188"/>
      <c r="R165" s="188">
        <v>0.17013054859524293</v>
      </c>
      <c r="S165" s="188">
        <v>0.17123639716111203</v>
      </c>
      <c r="T165" s="188">
        <v>0.17236436269829847</v>
      </c>
      <c r="U165" s="188">
        <v>0.17351488754622868</v>
      </c>
      <c r="V165" s="188">
        <v>0.17468842289111747</v>
      </c>
      <c r="W165" s="188">
        <v>0.17588542894290404</v>
      </c>
      <c r="X165" s="188">
        <v>0.17710637511572633</v>
      </c>
      <c r="Y165" s="188">
        <v>0.17835174021200506</v>
      </c>
      <c r="Z165" s="188">
        <v>0.17962201261020938</v>
      </c>
      <c r="AA165" s="188">
        <v>0.18091769045637779</v>
      </c>
      <c r="AB165" s="188">
        <v>0.18223928185946958</v>
      </c>
      <c r="AC165" s="188">
        <v>0.18358730509062318</v>
      </c>
      <c r="AD165" s="188">
        <v>0.18496228878639986</v>
      </c>
      <c r="AE165" s="188">
        <v>0.1863647721560921</v>
      </c>
    </row>
    <row r="166" spans="7:31" outlineLevel="1" x14ac:dyDescent="0.2">
      <c r="G166" s="313"/>
      <c r="H166" s="313"/>
      <c r="I166" s="96"/>
      <c r="J166" s="129"/>
      <c r="K166" s="129" t="s">
        <v>265</v>
      </c>
      <c r="L166" s="123"/>
      <c r="M166" s="123"/>
      <c r="N166" s="188"/>
      <c r="O166" s="188"/>
      <c r="P166" s="188">
        <f t="shared" si="19"/>
        <v>0.50237391254622399</v>
      </c>
      <c r="Q166" s="188"/>
      <c r="R166" s="188">
        <v>0.50237391254622399</v>
      </c>
      <c r="S166" s="188">
        <v>0.50237391254622399</v>
      </c>
      <c r="T166" s="188">
        <v>0.50237391254622399</v>
      </c>
      <c r="U166" s="188">
        <v>0.50237391254622399</v>
      </c>
      <c r="V166" s="188">
        <v>0.50237391254622399</v>
      </c>
      <c r="W166" s="188">
        <v>0.50237391254622399</v>
      </c>
      <c r="X166" s="188">
        <v>0.50237391254622399</v>
      </c>
      <c r="Y166" s="188">
        <v>0.50237391254622399</v>
      </c>
      <c r="Z166" s="188">
        <v>0.50237391254622399</v>
      </c>
      <c r="AA166" s="188">
        <v>0.50237391254622399</v>
      </c>
      <c r="AB166" s="188">
        <v>0.50237391254622399</v>
      </c>
      <c r="AC166" s="188">
        <v>0.50237391254622399</v>
      </c>
      <c r="AD166" s="188">
        <v>0.50237391254622399</v>
      </c>
      <c r="AE166" s="188">
        <v>0.50237391254622399</v>
      </c>
    </row>
    <row r="167" spans="7:31" outlineLevel="1" x14ac:dyDescent="0.2">
      <c r="G167" s="313"/>
      <c r="H167" s="313"/>
      <c r="I167" s="103" t="s">
        <v>655</v>
      </c>
      <c r="J167" s="104"/>
      <c r="K167" s="93"/>
      <c r="L167" s="123"/>
      <c r="M167" s="123"/>
      <c r="N167" s="188"/>
      <c r="O167" s="188"/>
      <c r="P167" s="188"/>
      <c r="Q167" s="188"/>
      <c r="R167" s="188"/>
      <c r="S167" s="188"/>
      <c r="T167" s="188"/>
      <c r="U167" s="188"/>
      <c r="V167" s="188"/>
      <c r="W167" s="188"/>
      <c r="X167" s="188"/>
      <c r="Y167" s="188"/>
      <c r="Z167" s="188"/>
      <c r="AA167" s="188"/>
      <c r="AB167" s="188"/>
      <c r="AC167" s="188"/>
      <c r="AD167" s="188"/>
      <c r="AE167" s="188"/>
    </row>
    <row r="168" spans="7:31" outlineLevel="1" x14ac:dyDescent="0.2">
      <c r="G168" s="313"/>
      <c r="H168" s="313"/>
      <c r="I168" s="96"/>
      <c r="J168" s="129"/>
      <c r="K168" s="129" t="s">
        <v>653</v>
      </c>
      <c r="L168" s="123"/>
      <c r="M168" s="123"/>
      <c r="N168" s="188"/>
      <c r="O168" s="188"/>
      <c r="P168" s="188"/>
      <c r="Q168" s="188"/>
      <c r="R168" s="188"/>
      <c r="S168" s="188"/>
      <c r="T168" s="188"/>
      <c r="U168" s="188"/>
      <c r="V168" s="188"/>
      <c r="W168" s="188"/>
      <c r="X168" s="188"/>
      <c r="Y168" s="188"/>
      <c r="Z168" s="188"/>
      <c r="AA168" s="188"/>
      <c r="AB168" s="188"/>
      <c r="AC168" s="188"/>
      <c r="AD168" s="188"/>
      <c r="AE168" s="188"/>
    </row>
    <row r="169" spans="7:31" outlineLevel="1" x14ac:dyDescent="0.2">
      <c r="G169" s="313"/>
      <c r="H169" s="313"/>
      <c r="I169" s="96"/>
      <c r="J169" s="129"/>
      <c r="K169" s="129" t="s">
        <v>260</v>
      </c>
      <c r="L169" s="123"/>
      <c r="M169" s="123"/>
      <c r="N169" s="188"/>
      <c r="O169" s="188"/>
      <c r="P169" s="188">
        <f t="shared" ref="P169:P174" si="20">P69*USD_to_CAD*P$190*1000*X69/1000000</f>
        <v>6.9063108537493381E-2</v>
      </c>
      <c r="Q169" s="188"/>
      <c r="R169" s="188" cm="1">
        <f t="array" ref="R169:R174">$P$169:$P$174</f>
        <v>6.9063108537493381E-2</v>
      </c>
      <c r="S169" s="188" cm="1">
        <f t="array" ref="S169:S174">$P$169:$P$174*$Q$69:$Q$74*(1+$R$83)^(S4-$R$4)+ ($P$169:$P$174*(1-$Q$69:$Q$74))</f>
        <v>7.024063453805765E-2</v>
      </c>
      <c r="T169" s="188" cm="1">
        <f t="array" ref="T169:T174">$P$169:$P$174*$Q$69:$Q$74*(1+$R$83)^(T4-$R$4)+ ($P$169:$P$174*(1-$Q$69:$Q$74))</f>
        <v>7.14417110586332E-2</v>
      </c>
      <c r="U169" s="188" cm="1">
        <f t="array" ref="U169:U174">$P$169:$P$174*$Q$69:$Q$74*(1+$R$83)^(U4-$R$4)+ ($P$169:$P$174*(1-$Q$69:$Q$74))</f>
        <v>7.2666809109620242E-2</v>
      </c>
      <c r="V169" s="188" cm="1">
        <f t="array" ref="V169:V174">$P$169:$P$174*$Q$69:$Q$74*(1+$R$83)^(V4-$R$4)+ ($P$169:$P$174*(1-$Q$69:$Q$74))</f>
        <v>7.3916409121627058E-2</v>
      </c>
      <c r="W169" s="188" cm="1">
        <f t="array" ref="W169:W174">$P$169:$P$174*$Q$69:$Q$74*(1+$R$83)^(W4-$R$4)+ ($P$169:$P$174*(1-$Q$69:$Q$74))</f>
        <v>7.5191001133873989E-2</v>
      </c>
      <c r="X169" s="188" cm="1">
        <f t="array" ref="X169:X174">$P$169:$P$174*$Q$69:$Q$74*(1+$R$83)^(X4-$R$4)+ ($P$169:$P$174*(1-$Q$69:$Q$74))</f>
        <v>7.6491084986365865E-2</v>
      </c>
      <c r="Y169" s="188" cm="1">
        <f t="array" ref="Y169:Y174">$P$169:$P$174*$Q$69:$Q$74*(1+$R$83)^(Y4-$R$4)+ ($P$169:$P$174*(1-$Q$69:$Q$74))</f>
        <v>7.7817170515907572E-2</v>
      </c>
      <c r="Z169" s="188" cm="1">
        <f t="array" ref="Z169:Z174">$P$169:$P$174*$Q$69:$Q$74*(1+$R$83)^(Z4-$R$4)+ ($P$169:$P$174*(1-$Q$69:$Q$74))</f>
        <v>7.9169777756040116E-2</v>
      </c>
      <c r="AA169" s="188" cm="1">
        <f t="array" ref="AA169:AA174">$P$169:$P$174*$Q$69:$Q$74*(1+$R$83)^(AA4-$R$4)+ ($P$169:$P$174*(1-$Q$69:$Q$74))</f>
        <v>8.0549437140975316E-2</v>
      </c>
      <c r="AB169" s="188" cm="1">
        <f t="array" ref="AB169:AB174">$P$169:$P$174*$Q$69:$Q$74*(1+$R$83)^(AB4-$R$4)+ ($P$169:$P$174*(1-$Q$69:$Q$74))</f>
        <v>8.1956689713609226E-2</v>
      </c>
      <c r="AC169" s="188" cm="1">
        <f t="array" ref="AC169:AC174">$P$169:$P$174*$Q$69:$Q$74*(1+$R$83)^(AC4-$R$4)+ ($P$169:$P$174*(1-$Q$69:$Q$74))</f>
        <v>8.3392087337695792E-2</v>
      </c>
      <c r="AD169" s="188" cm="1">
        <f t="array" ref="AD169:AD174">$P$169:$P$174*$Q$69:$Q$74*(1+$R$83)^(AD4-$R$4)+ ($P$169:$P$174*(1-$Q$69:$Q$74))</f>
        <v>8.4856192914264106E-2</v>
      </c>
      <c r="AE169" s="188" cm="1">
        <f t="array" ref="AE169:AE174">$P$169:$P$174*$Q$69:$Q$74*(1+$R$83)^(AE4-$R$4)+ ($P$169:$P$174*(1-$Q$69:$Q$74))</f>
        <v>8.6349580602363779E-2</v>
      </c>
    </row>
    <row r="170" spans="7:31" outlineLevel="1" x14ac:dyDescent="0.2">
      <c r="G170" s="313"/>
      <c r="H170" s="313"/>
      <c r="I170" s="96"/>
      <c r="J170" s="129"/>
      <c r="K170" s="129" t="s">
        <v>261</v>
      </c>
      <c r="L170" s="123"/>
      <c r="M170" s="123"/>
      <c r="N170" s="188"/>
      <c r="O170" s="188"/>
      <c r="P170" s="188">
        <f t="shared" si="20"/>
        <v>4.1151050746494111E-2</v>
      </c>
      <c r="Q170" s="188"/>
      <c r="R170" s="188">
        <v>4.1151050746494111E-2</v>
      </c>
      <c r="S170" s="188">
        <v>4.1871194134557761E-2</v>
      </c>
      <c r="T170" s="188">
        <v>4.2605740390382681E-2</v>
      </c>
      <c r="U170" s="188">
        <v>4.3354977571324095E-2</v>
      </c>
      <c r="V170" s="188">
        <v>4.4119199495884345E-2</v>
      </c>
      <c r="W170" s="188">
        <v>4.4898705858935795E-2</v>
      </c>
      <c r="X170" s="188">
        <v>4.5693802349248275E-2</v>
      </c>
      <c r="Y170" s="188">
        <v>4.6504800769367E-2</v>
      </c>
      <c r="Z170" s="188">
        <v>4.7332019157888108E-2</v>
      </c>
      <c r="AA170" s="188">
        <v>4.8175781914179636E-2</v>
      </c>
      <c r="AB170" s="188">
        <v>4.9036419925596993E-2</v>
      </c>
      <c r="AC170" s="188">
        <v>4.9914270697242691E-2</v>
      </c>
      <c r="AD170" s="188">
        <v>5.0809678484321316E-2</v>
      </c>
      <c r="AE170" s="188">
        <v>5.1722994427141504E-2</v>
      </c>
    </row>
    <row r="171" spans="7:31" outlineLevel="1" x14ac:dyDescent="0.2">
      <c r="G171" s="313"/>
      <c r="H171" s="313"/>
      <c r="I171" s="96"/>
      <c r="J171" s="129"/>
      <c r="K171" s="129" t="s">
        <v>262</v>
      </c>
      <c r="L171" s="123"/>
      <c r="M171" s="123"/>
      <c r="N171" s="188"/>
      <c r="O171" s="188"/>
      <c r="P171" s="188">
        <f t="shared" si="20"/>
        <v>0.29430236764440243</v>
      </c>
      <c r="Q171" s="188"/>
      <c r="R171" s="188">
        <v>0.29430236764440243</v>
      </c>
      <c r="S171" s="188">
        <v>0.29547957711498007</v>
      </c>
      <c r="T171" s="188">
        <v>0.29668033077496925</v>
      </c>
      <c r="U171" s="188">
        <v>0.29790509950815819</v>
      </c>
      <c r="V171" s="188">
        <v>0.29915436361601089</v>
      </c>
      <c r="W171" s="188">
        <v>0.30042861300602069</v>
      </c>
      <c r="X171" s="188">
        <v>0.30172834738383064</v>
      </c>
      <c r="Y171" s="188">
        <v>0.3030540764491968</v>
      </c>
      <c r="Z171" s="188">
        <v>0.30440632009587032</v>
      </c>
      <c r="AA171" s="188">
        <v>0.30578560861547727</v>
      </c>
      <c r="AB171" s="188">
        <v>0.30719248290547641</v>
      </c>
      <c r="AC171" s="188">
        <v>0.30862749468127548</v>
      </c>
      <c r="AD171" s="188">
        <v>0.31009120669259055</v>
      </c>
      <c r="AE171" s="188">
        <v>0.31158419294413192</v>
      </c>
    </row>
    <row r="172" spans="7:31" outlineLevel="1" x14ac:dyDescent="0.2">
      <c r="G172" s="313"/>
      <c r="H172" s="313"/>
      <c r="I172" s="96"/>
      <c r="J172" s="129"/>
      <c r="K172" s="129" t="s">
        <v>263</v>
      </c>
      <c r="L172" s="123"/>
      <c r="M172" s="123"/>
      <c r="N172" s="188"/>
      <c r="O172" s="188"/>
      <c r="P172" s="188">
        <f t="shared" si="20"/>
        <v>0.15339661451793102</v>
      </c>
      <c r="Q172" s="188"/>
      <c r="R172" s="188">
        <v>0.15339661451793102</v>
      </c>
      <c r="S172" s="188">
        <v>0.15339661451793102</v>
      </c>
      <c r="T172" s="188">
        <v>0.15339661451793102</v>
      </c>
      <c r="U172" s="188">
        <v>0.15339661451793102</v>
      </c>
      <c r="V172" s="188">
        <v>0.15339661451793102</v>
      </c>
      <c r="W172" s="188">
        <v>0.15339661451793102</v>
      </c>
      <c r="X172" s="188">
        <v>0.15339661451793102</v>
      </c>
      <c r="Y172" s="188">
        <v>0.15339661451793102</v>
      </c>
      <c r="Z172" s="188">
        <v>0.15339661451793102</v>
      </c>
      <c r="AA172" s="188">
        <v>0.15339661451793102</v>
      </c>
      <c r="AB172" s="188">
        <v>0.15339661451793102</v>
      </c>
      <c r="AC172" s="188">
        <v>0.15339661451793102</v>
      </c>
      <c r="AD172" s="188">
        <v>0.15339661451793102</v>
      </c>
      <c r="AE172" s="188">
        <v>0.15339661451793102</v>
      </c>
    </row>
    <row r="173" spans="7:31" outlineLevel="1" x14ac:dyDescent="0.2">
      <c r="G173" s="313"/>
      <c r="H173" s="313"/>
      <c r="I173" s="96"/>
      <c r="J173" s="129"/>
      <c r="K173" s="129" t="s">
        <v>264</v>
      </c>
      <c r="L173" s="123"/>
      <c r="M173" s="123"/>
      <c r="N173" s="188"/>
      <c r="O173" s="188"/>
      <c r="P173" s="188">
        <f t="shared" si="20"/>
        <v>0.15813068623418366</v>
      </c>
      <c r="Q173" s="188"/>
      <c r="R173" s="188">
        <v>0.15813068623418366</v>
      </c>
      <c r="S173" s="188">
        <v>0.15915853569470587</v>
      </c>
      <c r="T173" s="188">
        <v>0.16020694214443851</v>
      </c>
      <c r="U173" s="188">
        <v>0.16127631672316578</v>
      </c>
      <c r="V173" s="188">
        <v>0.16236707879346762</v>
      </c>
      <c r="W173" s="188">
        <v>0.16347965610517551</v>
      </c>
      <c r="X173" s="188">
        <v>0.16461448496311754</v>
      </c>
      <c r="Y173" s="188">
        <v>0.1657720103982184</v>
      </c>
      <c r="Z173" s="188">
        <v>0.16695268634202129</v>
      </c>
      <c r="AA173" s="188">
        <v>0.16815697580470024</v>
      </c>
      <c r="AB173" s="188">
        <v>0.16938535105663277</v>
      </c>
      <c r="AC173" s="188">
        <v>0.17063829381360393</v>
      </c>
      <c r="AD173" s="188">
        <v>0.17191629542571454</v>
      </c>
      <c r="AE173" s="188">
        <v>0.17321985707006735</v>
      </c>
    </row>
    <row r="174" spans="7:31" outlineLevel="1" x14ac:dyDescent="0.2">
      <c r="G174" s="313"/>
      <c r="H174" s="313"/>
      <c r="I174" s="96"/>
      <c r="J174" s="129"/>
      <c r="K174" s="129" t="s">
        <v>265</v>
      </c>
      <c r="L174" s="123"/>
      <c r="M174" s="123"/>
      <c r="N174" s="188"/>
      <c r="O174" s="188"/>
      <c r="P174" s="188">
        <f t="shared" si="20"/>
        <v>0.50237391254622399</v>
      </c>
      <c r="Q174" s="188"/>
      <c r="R174" s="188">
        <v>0.50237391254622399</v>
      </c>
      <c r="S174" s="188">
        <v>0.50237391254622399</v>
      </c>
      <c r="T174" s="188">
        <v>0.50237391254622399</v>
      </c>
      <c r="U174" s="188">
        <v>0.50237391254622399</v>
      </c>
      <c r="V174" s="188">
        <v>0.50237391254622399</v>
      </c>
      <c r="W174" s="188">
        <v>0.50237391254622399</v>
      </c>
      <c r="X174" s="188">
        <v>0.50237391254622399</v>
      </c>
      <c r="Y174" s="188">
        <v>0.50237391254622399</v>
      </c>
      <c r="Z174" s="188">
        <v>0.50237391254622399</v>
      </c>
      <c r="AA174" s="188">
        <v>0.50237391254622399</v>
      </c>
      <c r="AB174" s="188">
        <v>0.50237391254622399</v>
      </c>
      <c r="AC174" s="188">
        <v>0.50237391254622399</v>
      </c>
      <c r="AD174" s="188">
        <v>0.50237391254622399</v>
      </c>
      <c r="AE174" s="188">
        <v>0.50237391254622399</v>
      </c>
    </row>
    <row r="175" spans="7:31" x14ac:dyDescent="0.2">
      <c r="G175" s="313"/>
      <c r="H175" s="313"/>
    </row>
    <row r="176" spans="7:31" x14ac:dyDescent="0.2">
      <c r="G176" s="313"/>
      <c r="H176" s="315" t="s">
        <v>656</v>
      </c>
    </row>
    <row r="177" spans="7:31" outlineLevel="1" x14ac:dyDescent="0.2">
      <c r="G177" s="313"/>
      <c r="H177" s="315"/>
      <c r="I177" s="80" t="s">
        <v>657</v>
      </c>
      <c r="J177" s="120"/>
      <c r="K177" s="120"/>
      <c r="L177" s="119"/>
      <c r="M177" s="119"/>
      <c r="N177" s="119"/>
      <c r="O177" s="119"/>
      <c r="P177" s="119"/>
      <c r="Q177" s="119"/>
      <c r="R177" s="119"/>
      <c r="S177" s="119"/>
      <c r="T177" s="119"/>
      <c r="U177" s="119"/>
      <c r="V177" s="119"/>
      <c r="W177" s="119"/>
      <c r="X177" s="119"/>
      <c r="Y177" s="119"/>
      <c r="Z177" s="119"/>
      <c r="AA177" s="119"/>
      <c r="AB177" s="119"/>
      <c r="AC177" s="119"/>
      <c r="AD177" s="119"/>
      <c r="AE177" s="119"/>
    </row>
    <row r="178" spans="7:31" outlineLevel="1" x14ac:dyDescent="0.2">
      <c r="G178" s="313"/>
      <c r="H178" s="315"/>
      <c r="I178" s="81"/>
      <c r="J178" s="184" t="s">
        <v>548</v>
      </c>
      <c r="K178" s="120"/>
      <c r="L178" s="119"/>
      <c r="M178" s="119"/>
      <c r="N178" s="119"/>
      <c r="O178" s="119"/>
      <c r="P178" s="119"/>
      <c r="Q178" s="119"/>
      <c r="R178" s="119"/>
      <c r="S178" s="119"/>
      <c r="T178" s="119"/>
      <c r="U178" s="119"/>
      <c r="V178" s="119"/>
      <c r="W178" s="119"/>
      <c r="X178" s="119"/>
      <c r="Y178" s="119"/>
      <c r="Z178" s="119"/>
      <c r="AA178" s="119"/>
      <c r="AB178" s="119"/>
      <c r="AC178" s="119"/>
      <c r="AD178" s="119"/>
      <c r="AE178" s="119"/>
    </row>
    <row r="179" spans="7:31" outlineLevel="1" x14ac:dyDescent="0.2">
      <c r="G179" s="313"/>
      <c r="H179" s="315"/>
      <c r="I179" s="81"/>
      <c r="J179" s="184" t="s">
        <v>658</v>
      </c>
      <c r="K179" s="120"/>
      <c r="L179" s="119"/>
      <c r="M179" s="119"/>
      <c r="N179" s="119"/>
      <c r="O179" s="119"/>
      <c r="P179" s="119"/>
      <c r="Q179" s="119"/>
      <c r="R179" s="119"/>
      <c r="S179" s="119"/>
      <c r="T179" s="119"/>
      <c r="U179" s="119"/>
      <c r="V179" s="119"/>
      <c r="W179" s="119"/>
      <c r="X179" s="119"/>
      <c r="Y179" s="119"/>
      <c r="Z179" s="119"/>
      <c r="AA179" s="119"/>
      <c r="AB179" s="119"/>
      <c r="AC179" s="119"/>
      <c r="AD179" s="119"/>
      <c r="AE179" s="119"/>
    </row>
    <row r="180" spans="7:31" outlineLevel="1" x14ac:dyDescent="0.2">
      <c r="G180" s="313"/>
      <c r="H180" s="315"/>
      <c r="I180" s="81"/>
      <c r="J180" s="184" t="s">
        <v>659</v>
      </c>
      <c r="K180" s="120"/>
      <c r="L180" s="119"/>
      <c r="M180" s="119"/>
      <c r="N180" s="119"/>
      <c r="O180" s="119"/>
      <c r="P180" s="119"/>
      <c r="Q180" s="119"/>
      <c r="R180" s="119"/>
      <c r="S180" s="119"/>
      <c r="T180" s="119"/>
      <c r="U180" s="119"/>
      <c r="V180" s="119"/>
      <c r="W180" s="119"/>
      <c r="X180" s="119"/>
      <c r="Y180" s="119"/>
      <c r="Z180" s="119"/>
      <c r="AA180" s="119"/>
      <c r="AB180" s="119"/>
      <c r="AC180" s="119"/>
      <c r="AD180" s="119"/>
      <c r="AE180" s="119"/>
    </row>
    <row r="181" spans="7:31" outlineLevel="1" x14ac:dyDescent="0.2">
      <c r="G181" s="313"/>
      <c r="H181" s="315"/>
      <c r="I181" s="81"/>
      <c r="J181" s="184" t="s">
        <v>660</v>
      </c>
      <c r="K181" s="120"/>
      <c r="L181" s="119"/>
      <c r="M181" s="119"/>
      <c r="N181" s="119"/>
      <c r="O181" s="119"/>
      <c r="P181" s="119"/>
      <c r="Q181" s="119"/>
      <c r="R181" s="119"/>
      <c r="S181" s="119"/>
      <c r="T181" s="119"/>
      <c r="U181" s="119"/>
      <c r="V181" s="119"/>
      <c r="W181" s="119"/>
      <c r="X181" s="119"/>
      <c r="Y181" s="119"/>
      <c r="Z181" s="119"/>
      <c r="AA181" s="119"/>
      <c r="AB181" s="119"/>
      <c r="AC181" s="119"/>
      <c r="AD181" s="119"/>
      <c r="AE181" s="119"/>
    </row>
    <row r="182" spans="7:31" outlineLevel="1" x14ac:dyDescent="0.2">
      <c r="G182" s="313"/>
      <c r="H182" s="315"/>
      <c r="I182" s="81"/>
      <c r="J182" s="84" t="s">
        <v>661</v>
      </c>
      <c r="K182" s="120"/>
      <c r="L182" s="119"/>
      <c r="M182" s="119"/>
      <c r="N182" s="119"/>
      <c r="O182" s="119"/>
      <c r="P182" s="119"/>
      <c r="Q182" s="119"/>
      <c r="R182" s="119"/>
      <c r="S182" s="119"/>
      <c r="T182" s="119"/>
      <c r="U182" s="119"/>
      <c r="V182" s="119"/>
      <c r="W182" s="119"/>
      <c r="X182" s="119"/>
      <c r="Y182" s="119"/>
      <c r="Z182" s="119"/>
      <c r="AA182" s="119"/>
      <c r="AB182" s="119"/>
      <c r="AC182" s="119"/>
      <c r="AD182" s="119"/>
      <c r="AE182" s="119"/>
    </row>
    <row r="183" spans="7:31" outlineLevel="1" x14ac:dyDescent="0.2">
      <c r="G183" s="313"/>
      <c r="H183" s="313"/>
      <c r="I183" s="81"/>
      <c r="J183" s="120"/>
      <c r="K183" s="120" t="s">
        <v>249</v>
      </c>
      <c r="L183" s="119"/>
      <c r="M183" s="89">
        <v>113</v>
      </c>
      <c r="N183" s="89">
        <v>115.6</v>
      </c>
      <c r="O183" s="89">
        <v>121.2</v>
      </c>
      <c r="P183" s="89">
        <v>124.9</v>
      </c>
      <c r="Q183" s="119"/>
      <c r="R183" s="119"/>
      <c r="S183" s="119"/>
      <c r="T183" s="119"/>
      <c r="U183" s="119"/>
      <c r="V183" s="119"/>
      <c r="W183" s="119"/>
      <c r="X183" s="119"/>
      <c r="Y183" s="119"/>
      <c r="Z183" s="119"/>
      <c r="AA183" s="119"/>
      <c r="AB183" s="119"/>
      <c r="AC183" s="119"/>
      <c r="AD183" s="119"/>
      <c r="AE183" s="119">
        <v>180</v>
      </c>
    </row>
    <row r="184" spans="7:31" outlineLevel="1" x14ac:dyDescent="0.2">
      <c r="G184" s="313"/>
      <c r="H184" s="313"/>
      <c r="I184" s="80" t="s">
        <v>662</v>
      </c>
      <c r="J184" s="120"/>
      <c r="K184" s="120"/>
      <c r="L184" s="119"/>
      <c r="M184" s="172"/>
      <c r="N184" s="172"/>
      <c r="O184" s="172"/>
      <c r="P184" s="172"/>
      <c r="Q184" s="172"/>
      <c r="R184" s="172"/>
      <c r="S184" s="172"/>
      <c r="T184" s="172"/>
      <c r="U184" s="172"/>
      <c r="V184" s="172"/>
      <c r="W184" s="172"/>
      <c r="X184" s="172"/>
      <c r="Y184" s="172"/>
      <c r="Z184" s="172"/>
      <c r="AA184" s="172"/>
      <c r="AB184" s="172"/>
      <c r="AC184" s="172"/>
      <c r="AD184" s="172"/>
      <c r="AE184" s="172"/>
    </row>
    <row r="185" spans="7:31" outlineLevel="1" x14ac:dyDescent="0.2">
      <c r="G185" s="313"/>
      <c r="H185" s="313"/>
      <c r="I185" s="81"/>
      <c r="J185" s="184" t="s">
        <v>548</v>
      </c>
      <c r="K185" s="120"/>
      <c r="L185" s="119"/>
      <c r="M185" s="172"/>
      <c r="N185" s="172"/>
      <c r="O185" s="172"/>
      <c r="P185" s="172"/>
      <c r="Q185" s="172"/>
      <c r="R185" s="172"/>
      <c r="S185" s="172"/>
      <c r="T185" s="172"/>
      <c r="U185" s="172"/>
      <c r="V185" s="172"/>
      <c r="W185" s="172"/>
      <c r="X185" s="172"/>
      <c r="Y185" s="172"/>
      <c r="Z185" s="172"/>
      <c r="AA185" s="172"/>
      <c r="AB185" s="172"/>
      <c r="AC185" s="172"/>
      <c r="AD185" s="172"/>
      <c r="AE185" s="172"/>
    </row>
    <row r="186" spans="7:31" outlineLevel="1" x14ac:dyDescent="0.2">
      <c r="G186" s="313"/>
      <c r="H186" s="313"/>
      <c r="I186" s="81"/>
      <c r="J186" s="184" t="s">
        <v>658</v>
      </c>
      <c r="K186" s="120"/>
      <c r="L186" s="119"/>
      <c r="M186" s="172"/>
      <c r="N186" s="172"/>
      <c r="O186" s="172"/>
      <c r="P186" s="172"/>
      <c r="Q186" s="172"/>
      <c r="R186" s="172"/>
      <c r="S186" s="172"/>
      <c r="T186" s="172"/>
      <c r="U186" s="172"/>
      <c r="V186" s="172"/>
      <c r="W186" s="172"/>
      <c r="X186" s="172"/>
      <c r="Y186" s="172"/>
      <c r="Z186" s="172"/>
      <c r="AA186" s="172"/>
      <c r="AB186" s="172"/>
      <c r="AC186" s="172"/>
      <c r="AD186" s="172"/>
      <c r="AE186" s="172"/>
    </row>
    <row r="187" spans="7:31" outlineLevel="1" x14ac:dyDescent="0.2">
      <c r="G187" s="313"/>
      <c r="H187" s="313"/>
      <c r="I187" s="81"/>
      <c r="J187" s="184" t="s">
        <v>659</v>
      </c>
      <c r="K187" s="120"/>
      <c r="L187" s="119"/>
      <c r="M187" s="119"/>
      <c r="N187" s="119"/>
      <c r="O187" s="119"/>
      <c r="P187" s="119"/>
      <c r="Q187" s="119"/>
      <c r="R187" s="119"/>
      <c r="S187" s="119"/>
      <c r="T187" s="119"/>
      <c r="U187" s="119"/>
      <c r="V187" s="119"/>
      <c r="W187" s="119"/>
      <c r="X187" s="119"/>
      <c r="Y187" s="119"/>
      <c r="Z187" s="119"/>
      <c r="AA187" s="119"/>
      <c r="AB187" s="119"/>
      <c r="AC187" s="119"/>
      <c r="AD187" s="119"/>
      <c r="AE187" s="119"/>
    </row>
    <row r="188" spans="7:31" outlineLevel="1" x14ac:dyDescent="0.2">
      <c r="G188" s="313"/>
      <c r="H188" s="313"/>
      <c r="I188" s="81"/>
      <c r="J188" s="184" t="s">
        <v>660</v>
      </c>
      <c r="K188" s="120"/>
      <c r="L188" s="119"/>
      <c r="M188" s="119"/>
      <c r="N188" s="119"/>
      <c r="O188" s="119"/>
      <c r="P188" s="119"/>
      <c r="Q188" s="119"/>
      <c r="R188" s="119"/>
      <c r="S188" s="119"/>
      <c r="T188" s="119"/>
      <c r="U188" s="119"/>
      <c r="V188" s="119"/>
      <c r="W188" s="119"/>
      <c r="X188" s="119"/>
      <c r="Y188" s="119"/>
      <c r="Z188" s="119"/>
      <c r="AA188" s="119"/>
      <c r="AB188" s="119"/>
      <c r="AC188" s="119"/>
      <c r="AD188" s="119"/>
      <c r="AE188" s="119"/>
    </row>
    <row r="189" spans="7:31" outlineLevel="1" x14ac:dyDescent="0.2">
      <c r="G189" s="313"/>
      <c r="H189" s="313"/>
      <c r="I189" s="81"/>
      <c r="J189" s="84" t="s">
        <v>661</v>
      </c>
      <c r="K189" s="120"/>
      <c r="L189" s="119"/>
      <c r="M189" s="119"/>
      <c r="N189" s="119"/>
      <c r="O189" s="119"/>
      <c r="P189" s="119"/>
      <c r="Q189" s="119"/>
      <c r="R189" s="119"/>
      <c r="S189" s="119"/>
      <c r="T189" s="119"/>
      <c r="U189" s="119"/>
      <c r="V189" s="119"/>
      <c r="W189" s="119"/>
      <c r="X189" s="119"/>
      <c r="Y189" s="119"/>
      <c r="Z189" s="119"/>
      <c r="AA189" s="119"/>
      <c r="AB189" s="119"/>
      <c r="AC189" s="119"/>
      <c r="AD189" s="119"/>
      <c r="AE189" s="119"/>
    </row>
    <row r="190" spans="7:31" outlineLevel="1" x14ac:dyDescent="0.2">
      <c r="G190" s="313"/>
      <c r="H190" s="313"/>
      <c r="I190" s="81"/>
      <c r="J190" s="120"/>
      <c r="K190" s="120" t="s">
        <v>553</v>
      </c>
      <c r="L190" s="119"/>
      <c r="M190" s="185">
        <v>2.3199999999999998</v>
      </c>
      <c r="N190" s="185">
        <v>2.4</v>
      </c>
      <c r="O190" s="185">
        <v>2.6</v>
      </c>
      <c r="P190" s="185">
        <v>2.8</v>
      </c>
      <c r="Q190" s="119"/>
      <c r="R190" s="119"/>
      <c r="S190" s="119"/>
      <c r="T190" s="119"/>
      <c r="U190" s="119"/>
      <c r="V190" s="119"/>
      <c r="W190" s="119"/>
      <c r="X190" s="119"/>
      <c r="Y190" s="119"/>
      <c r="Z190" s="119"/>
      <c r="AA190" s="119"/>
      <c r="AB190" s="119"/>
      <c r="AC190" s="119"/>
      <c r="AD190" s="119"/>
      <c r="AE190" s="119"/>
    </row>
    <row r="191" spans="7:31" outlineLevel="1" x14ac:dyDescent="0.2">
      <c r="G191" s="313"/>
      <c r="H191" s="313"/>
      <c r="I191" s="80" t="s">
        <v>663</v>
      </c>
      <c r="J191" s="120"/>
      <c r="K191" s="120"/>
      <c r="L191" s="119"/>
      <c r="M191" s="185"/>
      <c r="N191" s="185"/>
      <c r="O191" s="185"/>
      <c r="P191" s="185"/>
      <c r="Q191" s="185"/>
      <c r="R191" s="185"/>
      <c r="S191" s="185"/>
      <c r="T191" s="185"/>
      <c r="U191" s="185"/>
      <c r="V191" s="185"/>
      <c r="W191" s="185"/>
      <c r="X191" s="185"/>
      <c r="Y191" s="185"/>
      <c r="Z191" s="185"/>
      <c r="AA191" s="185"/>
      <c r="AB191" s="185"/>
      <c r="AC191" s="185"/>
      <c r="AD191" s="185"/>
      <c r="AE191" s="185"/>
    </row>
    <row r="192" spans="7:31" outlineLevel="1" x14ac:dyDescent="0.2">
      <c r="G192" s="313"/>
      <c r="H192" s="313"/>
      <c r="I192" s="81"/>
      <c r="J192" s="184" t="s">
        <v>548</v>
      </c>
      <c r="K192" s="120"/>
      <c r="L192" s="119"/>
      <c r="M192" s="185"/>
      <c r="N192" s="185"/>
      <c r="O192" s="185"/>
      <c r="P192" s="185"/>
      <c r="Q192" s="185"/>
      <c r="R192" s="185"/>
      <c r="S192" s="185"/>
      <c r="T192" s="185"/>
      <c r="U192" s="185"/>
      <c r="V192" s="185"/>
      <c r="W192" s="185"/>
      <c r="X192" s="185"/>
      <c r="Y192" s="185"/>
      <c r="Z192" s="185"/>
      <c r="AA192" s="185"/>
      <c r="AB192" s="185"/>
      <c r="AC192" s="185"/>
      <c r="AD192" s="185"/>
      <c r="AE192" s="185"/>
    </row>
    <row r="193" spans="5:31" outlineLevel="1" x14ac:dyDescent="0.2">
      <c r="G193" s="313"/>
      <c r="H193" s="313"/>
      <c r="I193" s="81"/>
      <c r="J193" s="184" t="s">
        <v>658</v>
      </c>
      <c r="K193" s="120"/>
      <c r="L193" s="119"/>
      <c r="M193" s="185"/>
      <c r="N193" s="185"/>
      <c r="O193" s="185"/>
      <c r="P193" s="185"/>
      <c r="Q193" s="185"/>
      <c r="R193" s="185"/>
      <c r="S193" s="185"/>
      <c r="T193" s="185"/>
      <c r="U193" s="185"/>
      <c r="V193" s="185"/>
      <c r="W193" s="185"/>
      <c r="X193" s="185"/>
      <c r="Y193" s="185"/>
      <c r="Z193" s="185"/>
      <c r="AA193" s="185"/>
      <c r="AB193" s="185"/>
      <c r="AC193" s="185"/>
      <c r="AD193" s="185"/>
      <c r="AE193" s="185"/>
    </row>
    <row r="194" spans="5:31" outlineLevel="1" x14ac:dyDescent="0.2">
      <c r="G194" s="313"/>
      <c r="H194" s="313"/>
      <c r="I194" s="81"/>
      <c r="J194" s="184" t="s">
        <v>659</v>
      </c>
      <c r="K194" s="120"/>
      <c r="L194" s="119"/>
      <c r="M194" s="119"/>
      <c r="N194" s="119"/>
      <c r="O194" s="119"/>
      <c r="P194" s="119"/>
      <c r="Q194" s="119"/>
      <c r="R194" s="119"/>
      <c r="S194" s="119"/>
      <c r="T194" s="119"/>
      <c r="U194" s="119"/>
      <c r="V194" s="119"/>
      <c r="W194" s="119"/>
      <c r="X194" s="119"/>
      <c r="Y194" s="119"/>
      <c r="Z194" s="119"/>
      <c r="AA194" s="119"/>
      <c r="AB194" s="119"/>
      <c r="AC194" s="119"/>
      <c r="AD194" s="119"/>
      <c r="AE194" s="119"/>
    </row>
    <row r="195" spans="5:31" outlineLevel="1" x14ac:dyDescent="0.2">
      <c r="G195" s="313"/>
      <c r="H195" s="313"/>
      <c r="I195" s="81"/>
      <c r="J195" s="184" t="s">
        <v>660</v>
      </c>
      <c r="K195" s="120"/>
      <c r="L195" s="119"/>
      <c r="M195" s="119"/>
      <c r="N195" s="119"/>
      <c r="O195" s="119"/>
      <c r="P195" s="119"/>
      <c r="Q195" s="119"/>
      <c r="R195" s="119"/>
      <c r="S195" s="119"/>
      <c r="T195" s="119"/>
      <c r="U195" s="119"/>
      <c r="V195" s="119"/>
      <c r="W195" s="119"/>
      <c r="X195" s="119"/>
      <c r="Y195" s="119"/>
      <c r="Z195" s="119"/>
      <c r="AA195" s="119"/>
      <c r="AB195" s="119"/>
      <c r="AC195" s="119"/>
      <c r="AD195" s="119"/>
      <c r="AE195" s="119"/>
    </row>
    <row r="196" spans="5:31" outlineLevel="1" x14ac:dyDescent="0.2">
      <c r="G196" s="313"/>
      <c r="H196" s="313"/>
      <c r="I196" s="81"/>
      <c r="J196" s="84" t="s">
        <v>661</v>
      </c>
      <c r="K196" s="120"/>
      <c r="L196" s="119"/>
      <c r="M196" s="119"/>
      <c r="N196" s="119"/>
      <c r="O196" s="119"/>
      <c r="P196" s="119"/>
      <c r="Q196" s="119"/>
      <c r="R196" s="119"/>
      <c r="S196" s="119"/>
      <c r="T196" s="119"/>
      <c r="U196" s="119"/>
      <c r="V196" s="119"/>
      <c r="W196" s="119"/>
      <c r="X196" s="119"/>
      <c r="Y196" s="119"/>
      <c r="Z196" s="119"/>
      <c r="AA196" s="119"/>
      <c r="AB196" s="119"/>
      <c r="AC196" s="119"/>
      <c r="AD196" s="119"/>
      <c r="AE196" s="119"/>
    </row>
    <row r="197" spans="5:31" outlineLevel="1" x14ac:dyDescent="0.2">
      <c r="G197" s="313"/>
      <c r="H197" s="313"/>
      <c r="I197" s="81"/>
      <c r="J197" s="120"/>
      <c r="K197" s="120" t="s">
        <v>664</v>
      </c>
      <c r="L197" s="119"/>
      <c r="M197" s="119">
        <v>86</v>
      </c>
      <c r="N197" s="119">
        <v>88.1</v>
      </c>
      <c r="O197" s="119">
        <v>90.1</v>
      </c>
      <c r="P197" s="119">
        <v>90.2</v>
      </c>
      <c r="Q197" s="119"/>
      <c r="R197" s="119"/>
      <c r="S197" s="119"/>
      <c r="T197" s="119"/>
      <c r="U197" s="119"/>
      <c r="V197" s="119"/>
      <c r="W197" s="119"/>
      <c r="X197" s="119"/>
      <c r="Y197" s="119"/>
      <c r="Z197" s="119"/>
      <c r="AA197" s="119"/>
      <c r="AB197" s="119"/>
      <c r="AC197" s="119"/>
      <c r="AD197" s="119"/>
      <c r="AE197" s="119"/>
    </row>
    <row r="198" spans="5:31" outlineLevel="1" x14ac:dyDescent="0.2">
      <c r="G198" s="313"/>
      <c r="H198" s="313"/>
      <c r="I198" s="138"/>
      <c r="J198" s="138"/>
      <c r="K198" s="138"/>
      <c r="L198" s="138"/>
      <c r="M198" s="138"/>
      <c r="N198" s="138"/>
      <c r="O198" s="138"/>
      <c r="P198" s="138"/>
      <c r="Q198" s="138"/>
      <c r="R198" s="138"/>
      <c r="S198" s="138"/>
      <c r="T198" s="138"/>
      <c r="U198" s="138"/>
      <c r="V198" s="138"/>
      <c r="W198" s="138"/>
      <c r="X198" s="138"/>
      <c r="Y198" s="138"/>
      <c r="Z198" s="138"/>
      <c r="AA198" s="138"/>
      <c r="AB198" s="138"/>
      <c r="AC198" s="138"/>
      <c r="AD198" s="138"/>
      <c r="AE198" s="138"/>
    </row>
    <row r="199" spans="5:31" outlineLevel="1" x14ac:dyDescent="0.2">
      <c r="G199" s="313"/>
      <c r="H199" s="313"/>
      <c r="I199" s="103" t="s">
        <v>355</v>
      </c>
      <c r="J199" s="104"/>
      <c r="K199" s="93"/>
      <c r="L199" s="123"/>
      <c r="M199" s="123"/>
      <c r="N199" s="123"/>
      <c r="O199" s="123"/>
      <c r="P199" s="123"/>
      <c r="Q199" s="123"/>
      <c r="R199" s="123"/>
      <c r="S199" s="123"/>
      <c r="T199" s="123"/>
      <c r="U199" s="123"/>
      <c r="V199" s="123"/>
      <c r="W199" s="123"/>
      <c r="X199" s="123"/>
      <c r="Y199" s="123"/>
      <c r="Z199" s="123"/>
      <c r="AA199" s="123"/>
      <c r="AB199" s="123"/>
      <c r="AC199" s="123"/>
      <c r="AD199" s="123"/>
      <c r="AE199" s="123"/>
    </row>
    <row r="200" spans="5:31" outlineLevel="1" x14ac:dyDescent="0.2">
      <c r="G200" s="313"/>
      <c r="H200" s="313"/>
      <c r="I200" s="96"/>
      <c r="J200" s="129"/>
      <c r="K200" s="129" t="s">
        <v>665</v>
      </c>
      <c r="L200" s="123"/>
      <c r="M200" s="186">
        <f>0.0011*(M$4-2016)^2+0.1573*(M$4-2016)+2.1287</f>
        <v>2.2870999999999997</v>
      </c>
      <c r="N200" s="186">
        <f t="shared" ref="N200:AE200" si="21">0.0011*(N$4-2016)^2+0.1573*(N$4-2016)+2.1287</f>
        <v>2.4476999999999998</v>
      </c>
      <c r="O200" s="186">
        <f t="shared" si="21"/>
        <v>2.6105</v>
      </c>
      <c r="P200" s="186">
        <f t="shared" si="21"/>
        <v>2.7754999999999996</v>
      </c>
      <c r="Q200" s="186">
        <f t="shared" si="21"/>
        <v>2.9426999999999999</v>
      </c>
      <c r="R200" s="186">
        <f t="shared" si="21"/>
        <v>3.1120999999999999</v>
      </c>
      <c r="S200" s="186">
        <f t="shared" si="21"/>
        <v>3.2836999999999996</v>
      </c>
      <c r="T200" s="186">
        <f t="shared" si="21"/>
        <v>3.4574999999999996</v>
      </c>
      <c r="U200" s="186">
        <f t="shared" si="21"/>
        <v>3.6334999999999997</v>
      </c>
      <c r="V200" s="186">
        <f t="shared" si="21"/>
        <v>3.8117000000000001</v>
      </c>
      <c r="W200" s="186">
        <f t="shared" si="21"/>
        <v>3.9920999999999998</v>
      </c>
      <c r="X200" s="186">
        <f t="shared" si="21"/>
        <v>4.1746999999999996</v>
      </c>
      <c r="Y200" s="186">
        <f t="shared" si="21"/>
        <v>4.3595000000000006</v>
      </c>
      <c r="Z200" s="186">
        <f t="shared" si="21"/>
        <v>4.5465</v>
      </c>
      <c r="AA200" s="186">
        <f t="shared" si="21"/>
        <v>4.7356999999999996</v>
      </c>
      <c r="AB200" s="186">
        <f t="shared" si="21"/>
        <v>4.9270999999999994</v>
      </c>
      <c r="AC200" s="186">
        <f t="shared" si="21"/>
        <v>5.1206999999999994</v>
      </c>
      <c r="AD200" s="186">
        <f t="shared" si="21"/>
        <v>5.3164999999999996</v>
      </c>
      <c r="AE200" s="186">
        <f t="shared" si="21"/>
        <v>5.5145</v>
      </c>
    </row>
    <row r="201" spans="5:31" outlineLevel="1" x14ac:dyDescent="0.2">
      <c r="G201" s="313"/>
      <c r="H201" s="313"/>
      <c r="I201" s="96"/>
      <c r="J201" s="129"/>
      <c r="K201" s="129" t="s">
        <v>666</v>
      </c>
      <c r="L201" s="123"/>
      <c r="M201" s="187">
        <f t="shared" ref="M201:AE201" si="22">MAX(-0.0196*(M$4-2016)^3+0.4436*(M$4-2016)^2+2.301*(M$4-2016)+110.04,L201)</f>
        <v>112.765</v>
      </c>
      <c r="N201" s="187">
        <f t="shared" si="22"/>
        <v>116.25960000000001</v>
      </c>
      <c r="O201" s="187">
        <f t="shared" si="22"/>
        <v>120.40620000000001</v>
      </c>
      <c r="P201" s="187">
        <f t="shared" si="22"/>
        <v>125.08720000000001</v>
      </c>
      <c r="Q201" s="187">
        <f t="shared" si="22"/>
        <v>130.185</v>
      </c>
      <c r="R201" s="187">
        <f t="shared" si="22"/>
        <v>135.58199999999999</v>
      </c>
      <c r="S201" s="187">
        <f t="shared" si="22"/>
        <v>141.16060000000002</v>
      </c>
      <c r="T201" s="187">
        <f t="shared" si="22"/>
        <v>146.8032</v>
      </c>
      <c r="U201" s="187">
        <f t="shared" si="22"/>
        <v>152.3922</v>
      </c>
      <c r="V201" s="187">
        <f t="shared" si="22"/>
        <v>157.81</v>
      </c>
      <c r="W201" s="187">
        <f t="shared" si="22"/>
        <v>162.93900000000002</v>
      </c>
      <c r="X201" s="187">
        <f t="shared" si="22"/>
        <v>167.66160000000002</v>
      </c>
      <c r="Y201" s="187">
        <f t="shared" si="22"/>
        <v>171.86020000000002</v>
      </c>
      <c r="Z201" s="187">
        <f t="shared" si="22"/>
        <v>175.41720000000001</v>
      </c>
      <c r="AA201" s="187">
        <f t="shared" si="22"/>
        <v>178.21500000000003</v>
      </c>
      <c r="AB201" s="187">
        <f t="shared" si="22"/>
        <v>180.13600000000002</v>
      </c>
      <c r="AC201" s="187">
        <f t="shared" si="22"/>
        <v>181.06260000000003</v>
      </c>
      <c r="AD201" s="187">
        <f t="shared" si="22"/>
        <v>181.06260000000003</v>
      </c>
      <c r="AE201" s="187">
        <f t="shared" si="22"/>
        <v>181.06260000000003</v>
      </c>
    </row>
    <row r="202" spans="5:31" outlineLevel="1" x14ac:dyDescent="0.2">
      <c r="G202" s="313"/>
      <c r="H202" s="313"/>
      <c r="I202" s="96"/>
      <c r="J202" s="129"/>
      <c r="K202" s="129" t="s">
        <v>579</v>
      </c>
      <c r="L202" s="123"/>
      <c r="M202" s="187">
        <f>0.0622*(M$4-2016)^2+1.1765*(M$4-2016)+85.194</f>
        <v>86.432699999999997</v>
      </c>
      <c r="N202" s="187">
        <f t="shared" ref="N202:AE202" si="23">0.0622*(N$4-2016)^2+1.1765*(N$4-2016)+85.194</f>
        <v>87.7958</v>
      </c>
      <c r="O202" s="187">
        <f t="shared" si="23"/>
        <v>89.283299999999997</v>
      </c>
      <c r="P202" s="187">
        <f t="shared" si="23"/>
        <v>90.895200000000003</v>
      </c>
      <c r="Q202" s="187">
        <f t="shared" si="23"/>
        <v>92.631500000000003</v>
      </c>
      <c r="R202" s="187">
        <f t="shared" si="23"/>
        <v>94.492199999999997</v>
      </c>
      <c r="S202" s="187">
        <f t="shared" si="23"/>
        <v>96.4773</v>
      </c>
      <c r="T202" s="187">
        <f t="shared" si="23"/>
        <v>98.586800000000011</v>
      </c>
      <c r="U202" s="187">
        <f t="shared" si="23"/>
        <v>100.8207</v>
      </c>
      <c r="V202" s="187">
        <f t="shared" si="23"/>
        <v>103.179</v>
      </c>
      <c r="W202" s="187">
        <f t="shared" si="23"/>
        <v>105.6617</v>
      </c>
      <c r="X202" s="187">
        <f t="shared" si="23"/>
        <v>108.2688</v>
      </c>
      <c r="Y202" s="187">
        <f t="shared" si="23"/>
        <v>111.00030000000001</v>
      </c>
      <c r="Z202" s="187">
        <f t="shared" si="23"/>
        <v>113.8562</v>
      </c>
      <c r="AA202" s="187">
        <f t="shared" si="23"/>
        <v>116.8365</v>
      </c>
      <c r="AB202" s="187">
        <f t="shared" si="23"/>
        <v>119.94120000000001</v>
      </c>
      <c r="AC202" s="187">
        <f t="shared" si="23"/>
        <v>123.1703</v>
      </c>
      <c r="AD202" s="187">
        <f t="shared" si="23"/>
        <v>126.52380000000001</v>
      </c>
      <c r="AE202" s="187">
        <f t="shared" si="23"/>
        <v>130.0017</v>
      </c>
    </row>
    <row r="203" spans="5:31" x14ac:dyDescent="0.2">
      <c r="G203" s="313"/>
      <c r="H203" s="313"/>
    </row>
    <row r="204" spans="5:31" x14ac:dyDescent="0.2">
      <c r="G204" s="313"/>
      <c r="H204" s="315" t="s">
        <v>667</v>
      </c>
    </row>
    <row r="205" spans="5:31" outlineLevel="1" x14ac:dyDescent="0.2">
      <c r="G205" s="313"/>
      <c r="H205" s="315"/>
      <c r="I205" s="106" t="s">
        <v>668</v>
      </c>
      <c r="J205" s="120"/>
      <c r="K205" s="120"/>
      <c r="L205" s="119"/>
      <c r="M205" s="119"/>
      <c r="N205" s="119"/>
      <c r="O205" s="119"/>
      <c r="P205" s="119"/>
      <c r="Q205" s="119"/>
      <c r="R205" s="119"/>
      <c r="S205" s="119"/>
      <c r="T205" s="119"/>
      <c r="U205" s="119"/>
      <c r="V205" s="119"/>
      <c r="W205" s="119"/>
      <c r="X205" s="119"/>
      <c r="Y205" s="119"/>
      <c r="Z205" s="119"/>
      <c r="AA205" s="119"/>
      <c r="AB205" s="119"/>
      <c r="AC205" s="119"/>
      <c r="AD205" s="119"/>
      <c r="AE205" s="119"/>
    </row>
    <row r="206" spans="5:31" outlineLevel="1" x14ac:dyDescent="0.2">
      <c r="E206" s="39"/>
      <c r="F206" s="39"/>
      <c r="G206" s="314"/>
      <c r="H206" s="314"/>
      <c r="I206" s="120"/>
      <c r="J206" s="84" t="s">
        <v>669</v>
      </c>
      <c r="K206" s="120"/>
      <c r="L206" s="120"/>
      <c r="M206" s="120"/>
      <c r="N206" s="120"/>
      <c r="O206" s="120"/>
      <c r="P206" s="120"/>
      <c r="Q206" s="120"/>
      <c r="R206" s="120"/>
      <c r="S206" s="120"/>
      <c r="T206" s="120"/>
      <c r="U206" s="120"/>
      <c r="V206" s="120"/>
      <c r="W206" s="120"/>
      <c r="X206" s="119"/>
      <c r="Y206" s="119"/>
      <c r="Z206" s="119"/>
      <c r="AA206" s="119"/>
      <c r="AB206" s="119"/>
      <c r="AC206" s="119"/>
      <c r="AD206" s="119"/>
      <c r="AE206" s="119"/>
    </row>
    <row r="207" spans="5:31" outlineLevel="1" x14ac:dyDescent="0.2">
      <c r="E207" s="39"/>
      <c r="F207" s="39"/>
      <c r="G207" s="314"/>
      <c r="H207" s="314"/>
      <c r="I207" s="120"/>
      <c r="J207" s="120"/>
      <c r="K207" s="120" t="s">
        <v>670</v>
      </c>
      <c r="L207" s="119"/>
      <c r="M207" s="119"/>
      <c r="N207" s="119"/>
      <c r="O207" s="196"/>
      <c r="P207" s="196"/>
      <c r="Q207" s="196"/>
      <c r="R207" s="197">
        <f>INDEX(US.CPI,MATCH(2022,CPI.years,0))/INDEX(US.CPI,MATCH(2018,CPI.years,0))*AVERAGE(14.6,14.3,27.6,25.8,28.3)</f>
        <v>24.019470743547711</v>
      </c>
      <c r="S207" s="120"/>
      <c r="T207" s="120"/>
      <c r="U207" s="120"/>
      <c r="V207" s="120"/>
      <c r="W207" s="120"/>
      <c r="X207" s="119"/>
      <c r="Y207" s="119"/>
      <c r="Z207" s="119"/>
      <c r="AA207" s="119"/>
      <c r="AB207" s="119"/>
      <c r="AC207" s="119"/>
      <c r="AD207" s="119"/>
      <c r="AE207" s="119"/>
    </row>
    <row r="208" spans="5:31" outlineLevel="1" x14ac:dyDescent="0.2">
      <c r="E208" s="39"/>
      <c r="F208" s="39"/>
      <c r="G208" s="314"/>
      <c r="H208" s="314"/>
      <c r="I208" s="120"/>
      <c r="J208" s="120"/>
      <c r="K208" s="120" t="s">
        <v>671</v>
      </c>
      <c r="L208" s="120"/>
      <c r="M208" s="120"/>
      <c r="N208" s="119"/>
      <c r="O208" s="196"/>
      <c r="P208" s="196"/>
      <c r="Q208" s="196"/>
      <c r="R208" s="197">
        <f>INDEX(US.CPI,MATCH(2022,CPI.years,0))/INDEX(US.CPI,MATCH(2018,CPI.years,0))*AVERAGE(5,7.9)</f>
        <v>7.0038691815498533</v>
      </c>
      <c r="S208" s="120"/>
      <c r="T208" s="120"/>
      <c r="U208" s="120"/>
      <c r="V208" s="120"/>
      <c r="W208" s="120"/>
      <c r="X208" s="119"/>
      <c r="Y208" s="119"/>
      <c r="Z208" s="119"/>
      <c r="AA208" s="119"/>
      <c r="AB208" s="119"/>
      <c r="AC208" s="119"/>
      <c r="AD208" s="119"/>
      <c r="AE208" s="119"/>
    </row>
    <row r="209" spans="5:31" outlineLevel="1" x14ac:dyDescent="0.2">
      <c r="E209" s="39"/>
      <c r="F209" s="39"/>
      <c r="G209" s="314"/>
      <c r="H209" s="314"/>
      <c r="I209" s="120"/>
      <c r="J209" s="120"/>
      <c r="K209" s="120" t="s">
        <v>672</v>
      </c>
      <c r="L209" s="120"/>
      <c r="M209" s="120"/>
      <c r="N209" s="119"/>
      <c r="O209" s="196"/>
      <c r="P209" s="196"/>
      <c r="Q209" s="196"/>
      <c r="R209" s="197">
        <f>INDEX(US.CPI,MATCH(2022,CPI.years,0))/INDEX(US.CPI,MATCH(2018,CPI.years,0))*AVERAGE(8.3,20.2,2.6+2.6+2+0.8+1.3)</f>
        <v>13.681977005818316</v>
      </c>
      <c r="S209" s="120"/>
      <c r="T209" s="120"/>
      <c r="U209" s="120"/>
      <c r="V209" s="120"/>
      <c r="W209" s="120"/>
      <c r="X209" s="119"/>
      <c r="Y209" s="119"/>
      <c r="Z209" s="119"/>
      <c r="AA209" s="119"/>
      <c r="AB209" s="119"/>
      <c r="AC209" s="119"/>
      <c r="AD209" s="119"/>
      <c r="AE209" s="119"/>
    </row>
    <row r="210" spans="5:31" outlineLevel="1" x14ac:dyDescent="0.2">
      <c r="E210" s="39"/>
      <c r="F210" s="39"/>
      <c r="G210" s="314"/>
      <c r="H210" s="314"/>
      <c r="I210" s="120"/>
      <c r="J210" s="120"/>
      <c r="K210" s="120"/>
      <c r="L210" s="120"/>
      <c r="M210" s="120"/>
      <c r="N210" s="120"/>
      <c r="O210" s="196"/>
      <c r="P210" s="196"/>
      <c r="Q210" s="196"/>
      <c r="R210" s="120"/>
      <c r="S210" s="120"/>
      <c r="T210" s="120"/>
      <c r="U210" s="120"/>
      <c r="V210" s="120"/>
      <c r="W210" s="120"/>
      <c r="X210" s="119"/>
      <c r="Y210" s="119"/>
      <c r="Z210" s="119"/>
      <c r="AA210" s="119"/>
      <c r="AB210" s="119"/>
      <c r="AC210" s="119"/>
      <c r="AD210" s="119"/>
      <c r="AE210" s="119"/>
    </row>
    <row r="211" spans="5:31" outlineLevel="1" x14ac:dyDescent="0.2">
      <c r="E211" s="39"/>
      <c r="F211" s="39"/>
      <c r="G211" s="314"/>
      <c r="H211" s="314"/>
      <c r="I211" s="120"/>
      <c r="J211" s="120"/>
      <c r="K211" s="120" t="s">
        <v>673</v>
      </c>
      <c r="L211" s="119"/>
      <c r="M211" s="119"/>
      <c r="N211" s="119"/>
      <c r="O211" s="120"/>
      <c r="P211" s="120"/>
      <c r="Q211" s="120"/>
      <c r="R211" s="198">
        <f>R207*R$200*1000/1000000</f>
        <v>7.4750994900994835E-2</v>
      </c>
      <c r="S211" s="120"/>
      <c r="T211" s="120"/>
      <c r="U211" s="120"/>
      <c r="V211" s="120"/>
      <c r="W211" s="120"/>
      <c r="X211" s="119"/>
      <c r="Y211" s="119"/>
      <c r="Z211" s="119"/>
      <c r="AA211" s="119"/>
      <c r="AB211" s="119"/>
      <c r="AC211" s="119"/>
      <c r="AD211" s="119"/>
      <c r="AE211" s="119"/>
    </row>
    <row r="212" spans="5:31" outlineLevel="1" x14ac:dyDescent="0.2">
      <c r="E212" s="39"/>
      <c r="F212" s="39"/>
      <c r="G212" s="314"/>
      <c r="H212" s="314"/>
      <c r="I212" s="120"/>
      <c r="J212" s="120"/>
      <c r="K212" s="120" t="s">
        <v>674</v>
      </c>
      <c r="L212" s="119"/>
      <c r="M212" s="119"/>
      <c r="N212" s="119"/>
      <c r="O212" s="120"/>
      <c r="P212" s="120"/>
      <c r="Q212" s="120"/>
      <c r="R212" s="198">
        <f>R208*R$200*1000/1000000</f>
        <v>2.1796741279901298E-2</v>
      </c>
      <c r="S212" s="120"/>
      <c r="T212" s="120"/>
      <c r="U212" s="120"/>
      <c r="V212" s="120"/>
      <c r="W212" s="120"/>
      <c r="X212" s="119"/>
      <c r="Y212" s="119"/>
      <c r="Z212" s="119"/>
      <c r="AA212" s="119"/>
      <c r="AB212" s="119"/>
      <c r="AC212" s="119"/>
      <c r="AD212" s="119"/>
      <c r="AE212" s="119"/>
    </row>
    <row r="213" spans="5:31" outlineLevel="1" x14ac:dyDescent="0.2">
      <c r="E213" s="39"/>
      <c r="F213" s="39"/>
      <c r="G213" s="314"/>
      <c r="H213" s="314"/>
      <c r="I213" s="120"/>
      <c r="J213" s="120"/>
      <c r="K213" s="120" t="s">
        <v>675</v>
      </c>
      <c r="L213" s="119"/>
      <c r="M213" s="119"/>
      <c r="N213" s="119"/>
      <c r="O213" s="120"/>
      <c r="P213" s="120"/>
      <c r="Q213" s="120"/>
      <c r="R213" s="198">
        <f>R209*R$200*1000/1000000</f>
        <v>4.2579680639807181E-2</v>
      </c>
      <c r="S213" s="120"/>
      <c r="T213" s="120"/>
      <c r="U213" s="120"/>
      <c r="V213" s="120"/>
      <c r="W213" s="120"/>
      <c r="X213" s="119"/>
      <c r="Y213" s="119"/>
      <c r="Z213" s="119"/>
      <c r="AA213" s="119"/>
      <c r="AB213" s="119"/>
      <c r="AC213" s="119"/>
      <c r="AD213" s="119"/>
      <c r="AE213" s="119"/>
    </row>
    <row r="214" spans="5:31" outlineLevel="1" x14ac:dyDescent="0.2">
      <c r="E214" s="39"/>
      <c r="F214" s="39"/>
      <c r="G214" s="314"/>
      <c r="H214" s="314"/>
      <c r="I214" s="120"/>
      <c r="J214" s="84" t="s">
        <v>676</v>
      </c>
      <c r="K214" s="120"/>
      <c r="L214" s="120"/>
      <c r="M214" s="120"/>
      <c r="N214" s="120"/>
      <c r="O214" s="120"/>
      <c r="P214" s="120"/>
      <c r="Q214" s="120"/>
      <c r="R214" s="120"/>
      <c r="S214" s="120"/>
      <c r="T214" s="120"/>
      <c r="U214" s="120"/>
      <c r="V214" s="120"/>
      <c r="W214" s="120"/>
      <c r="X214" s="119"/>
      <c r="Y214" s="119"/>
      <c r="Z214" s="119"/>
      <c r="AA214" s="119"/>
      <c r="AB214" s="119"/>
      <c r="AC214" s="119"/>
      <c r="AD214" s="119"/>
      <c r="AE214" s="119"/>
    </row>
    <row r="215" spans="5:31" outlineLevel="1" x14ac:dyDescent="0.2">
      <c r="E215" s="39"/>
      <c r="F215" s="39"/>
      <c r="G215" s="314"/>
      <c r="H215" s="314"/>
      <c r="I215" s="120"/>
      <c r="J215" s="120"/>
      <c r="K215" s="120" t="s">
        <v>506</v>
      </c>
      <c r="L215" s="120"/>
      <c r="M215" s="120"/>
      <c r="N215" s="120"/>
      <c r="O215" s="120"/>
      <c r="P215" s="120"/>
      <c r="Q215" s="120"/>
      <c r="R215" s="120">
        <v>41.275999999999996</v>
      </c>
      <c r="S215" s="120">
        <v>40.414000000000001</v>
      </c>
      <c r="T215" s="120">
        <v>39.552</v>
      </c>
      <c r="U215" s="120">
        <v>38.69</v>
      </c>
      <c r="V215" s="120">
        <v>37.828000000000003</v>
      </c>
      <c r="W215" s="120">
        <v>36.966000000000001</v>
      </c>
      <c r="X215" s="119">
        <v>36.103999999999999</v>
      </c>
      <c r="Y215" s="119">
        <v>35.242000000000004</v>
      </c>
      <c r="Z215" s="119">
        <v>34.380000000000003</v>
      </c>
      <c r="AA215" s="119">
        <v>33.8643</v>
      </c>
      <c r="AB215" s="119">
        <v>33.348599999999998</v>
      </c>
      <c r="AC215" s="119">
        <v>32.832900000000002</v>
      </c>
      <c r="AD215" s="119">
        <v>32.3172</v>
      </c>
      <c r="AE215" s="119">
        <v>31.801500000000004</v>
      </c>
    </row>
    <row r="216" spans="5:31" outlineLevel="1" x14ac:dyDescent="0.2">
      <c r="E216" s="39"/>
      <c r="F216" s="39"/>
      <c r="G216" s="314"/>
      <c r="H216" s="314"/>
      <c r="I216" s="120"/>
      <c r="J216" s="120"/>
      <c r="K216" s="120" t="s">
        <v>507</v>
      </c>
      <c r="L216" s="120"/>
      <c r="M216" s="120"/>
      <c r="N216" s="120"/>
      <c r="O216" s="120"/>
      <c r="P216" s="120"/>
      <c r="Q216" s="120"/>
      <c r="R216" s="120">
        <v>42.19</v>
      </c>
      <c r="S216" s="120">
        <v>41.785000000000004</v>
      </c>
      <c r="T216" s="120">
        <v>41.38</v>
      </c>
      <c r="U216" s="120">
        <v>40.975000000000001</v>
      </c>
      <c r="V216" s="120">
        <v>40.570000000000007</v>
      </c>
      <c r="W216" s="120">
        <v>40.165000000000006</v>
      </c>
      <c r="X216" s="119">
        <v>39.760000000000005</v>
      </c>
      <c r="Y216" s="119">
        <v>39.355000000000004</v>
      </c>
      <c r="Z216" s="119">
        <v>38.950000000000003</v>
      </c>
      <c r="AA216" s="119">
        <v>38.657875000000004</v>
      </c>
      <c r="AB216" s="119">
        <v>38.365750000000006</v>
      </c>
      <c r="AC216" s="119">
        <v>38.073625000000007</v>
      </c>
      <c r="AD216" s="119">
        <v>37.781500000000008</v>
      </c>
      <c r="AE216" s="119">
        <v>37.489375000000003</v>
      </c>
    </row>
    <row r="217" spans="5:31" outlineLevel="1" x14ac:dyDescent="0.2">
      <c r="E217" s="39"/>
      <c r="F217" s="39"/>
      <c r="G217" s="314"/>
      <c r="H217" s="314"/>
      <c r="I217" s="120"/>
      <c r="J217" s="120"/>
      <c r="K217" s="120" t="s">
        <v>508</v>
      </c>
      <c r="L217" s="120"/>
      <c r="M217" s="120"/>
      <c r="N217" s="120"/>
      <c r="O217" s="120"/>
      <c r="P217" s="120"/>
      <c r="Q217" s="120"/>
      <c r="R217" s="120">
        <v>43</v>
      </c>
      <c r="S217" s="120">
        <v>43</v>
      </c>
      <c r="T217" s="120">
        <v>43</v>
      </c>
      <c r="U217" s="120">
        <v>43</v>
      </c>
      <c r="V217" s="120">
        <v>43</v>
      </c>
      <c r="W217" s="120">
        <v>43</v>
      </c>
      <c r="X217" s="119">
        <v>43</v>
      </c>
      <c r="Y217" s="119">
        <v>43</v>
      </c>
      <c r="Z217" s="119">
        <v>43</v>
      </c>
      <c r="AA217" s="119">
        <v>42.902474999999995</v>
      </c>
      <c r="AB217" s="119">
        <v>42.804950000000005</v>
      </c>
      <c r="AC217" s="119">
        <v>42.707425000000001</v>
      </c>
      <c r="AD217" s="119">
        <v>42.609899999999996</v>
      </c>
      <c r="AE217" s="119">
        <v>42.512374999999999</v>
      </c>
    </row>
    <row r="218" spans="5:31" outlineLevel="1" x14ac:dyDescent="0.2">
      <c r="E218" s="39"/>
      <c r="F218" s="39"/>
      <c r="G218" s="314"/>
      <c r="H218" s="314"/>
      <c r="I218" s="120"/>
      <c r="J218" s="120"/>
      <c r="K218" s="120" t="s">
        <v>677</v>
      </c>
      <c r="L218" s="120"/>
      <c r="M218" s="120"/>
      <c r="N218" s="120"/>
      <c r="O218" s="120"/>
      <c r="P218" s="120"/>
      <c r="Q218" s="120"/>
      <c r="R218" s="199">
        <f>R216/$R$216</f>
        <v>1</v>
      </c>
      <c r="S218" s="199">
        <f t="shared" ref="S218:AE218" si="24">S216/$R$216</f>
        <v>0.99040056885517913</v>
      </c>
      <c r="T218" s="199">
        <f t="shared" si="24"/>
        <v>0.98080113771035804</v>
      </c>
      <c r="U218" s="199">
        <f t="shared" si="24"/>
        <v>0.97120170656553695</v>
      </c>
      <c r="V218" s="199">
        <f t="shared" si="24"/>
        <v>0.96160227542071608</v>
      </c>
      <c r="W218" s="199">
        <f t="shared" si="24"/>
        <v>0.95200284427589499</v>
      </c>
      <c r="X218" s="199">
        <f t="shared" si="24"/>
        <v>0.9424034131310739</v>
      </c>
      <c r="Y218" s="199">
        <f t="shared" si="24"/>
        <v>0.93280398198625281</v>
      </c>
      <c r="Z218" s="199">
        <f t="shared" si="24"/>
        <v>0.92320455084143171</v>
      </c>
      <c r="AA218" s="199">
        <f t="shared" si="24"/>
        <v>0.91628051671012101</v>
      </c>
      <c r="AB218" s="199">
        <f t="shared" si="24"/>
        <v>0.9093564825788103</v>
      </c>
      <c r="AC218" s="199">
        <f t="shared" si="24"/>
        <v>0.90243244844749959</v>
      </c>
      <c r="AD218" s="199">
        <f t="shared" si="24"/>
        <v>0.89550841431618888</v>
      </c>
      <c r="AE218" s="199">
        <f t="shared" si="24"/>
        <v>0.88858438018487806</v>
      </c>
    </row>
    <row r="219" spans="5:31" outlineLevel="1" x14ac:dyDescent="0.2">
      <c r="E219" s="39"/>
      <c r="F219" s="39"/>
      <c r="G219" s="314"/>
      <c r="H219" s="314"/>
      <c r="I219" s="120"/>
      <c r="J219" s="120"/>
      <c r="K219" s="120"/>
      <c r="L219" s="120"/>
      <c r="M219" s="120"/>
      <c r="N219" s="120"/>
      <c r="O219" s="120"/>
      <c r="P219" s="120"/>
      <c r="Q219" s="120"/>
      <c r="R219" s="199"/>
      <c r="S219" s="199"/>
      <c r="T219" s="199"/>
      <c r="U219" s="199"/>
      <c r="V219" s="199"/>
      <c r="W219" s="199"/>
      <c r="X219" s="199"/>
      <c r="Y219" s="199"/>
      <c r="Z219" s="199"/>
      <c r="AA219" s="199"/>
      <c r="AB219" s="199"/>
      <c r="AC219" s="199"/>
      <c r="AD219" s="199"/>
      <c r="AE219" s="199"/>
    </row>
    <row r="220" spans="5:31" outlineLevel="1" x14ac:dyDescent="0.2">
      <c r="E220" s="39"/>
      <c r="F220" s="39"/>
      <c r="G220" s="314"/>
      <c r="H220" s="314"/>
      <c r="I220" s="120"/>
      <c r="J220" s="120"/>
      <c r="K220" s="120"/>
      <c r="L220" s="120"/>
      <c r="M220" s="120"/>
      <c r="N220" s="120"/>
      <c r="O220" s="120"/>
      <c r="P220" s="120"/>
      <c r="Q220" s="120"/>
      <c r="R220" s="199"/>
      <c r="S220" s="199"/>
      <c r="T220" s="199"/>
      <c r="U220" s="199"/>
      <c r="V220" s="199"/>
      <c r="W220" s="199"/>
      <c r="X220" s="199"/>
      <c r="Y220" s="199"/>
      <c r="Z220" s="199"/>
      <c r="AA220" s="199"/>
      <c r="AB220" s="199"/>
      <c r="AC220" s="199"/>
      <c r="AD220" s="199"/>
      <c r="AE220" s="199"/>
    </row>
    <row r="221" spans="5:31" outlineLevel="1" x14ac:dyDescent="0.2">
      <c r="E221" s="39"/>
      <c r="F221" s="39"/>
      <c r="G221" s="314"/>
      <c r="H221" s="314"/>
      <c r="I221" s="120"/>
      <c r="J221" s="120" t="s">
        <v>269</v>
      </c>
      <c r="K221" s="120"/>
      <c r="L221" s="120"/>
      <c r="M221" s="120"/>
      <c r="N221" s="120"/>
      <c r="O221" s="120"/>
      <c r="P221" s="120"/>
      <c r="Q221" s="120"/>
      <c r="R221" s="199"/>
      <c r="S221" s="199"/>
      <c r="T221" s="199"/>
      <c r="U221" s="199"/>
      <c r="V221" s="199"/>
      <c r="W221" s="199"/>
      <c r="X221" s="199"/>
      <c r="Y221" s="199"/>
      <c r="Z221" s="199"/>
      <c r="AA221" s="199"/>
      <c r="AB221" s="199"/>
      <c r="AC221" s="199"/>
      <c r="AD221" s="199"/>
      <c r="AE221" s="199"/>
    </row>
    <row r="222" spans="5:31" outlineLevel="1" x14ac:dyDescent="0.2">
      <c r="E222" s="39"/>
      <c r="F222" s="39"/>
      <c r="G222" s="314"/>
      <c r="H222" s="314"/>
      <c r="I222" s="120"/>
      <c r="J222" s="120" t="s">
        <v>678</v>
      </c>
      <c r="K222" s="120"/>
      <c r="L222" s="120"/>
      <c r="M222" s="120"/>
      <c r="N222" s="120"/>
      <c r="O222" s="120"/>
      <c r="P222" s="120"/>
      <c r="Q222" s="120"/>
      <c r="R222" s="199"/>
      <c r="S222" s="199"/>
      <c r="T222" s="199"/>
      <c r="U222" s="199"/>
      <c r="V222" s="199"/>
      <c r="W222" s="199"/>
      <c r="X222" s="199"/>
      <c r="Y222" s="199"/>
      <c r="Z222" s="199"/>
      <c r="AA222" s="199"/>
      <c r="AB222" s="199"/>
      <c r="AC222" s="199"/>
      <c r="AD222" s="199"/>
      <c r="AE222" s="199"/>
    </row>
    <row r="223" spans="5:31" outlineLevel="1" x14ac:dyDescent="0.2">
      <c r="E223" s="39"/>
      <c r="F223" s="39"/>
      <c r="G223" s="314"/>
      <c r="H223" s="314"/>
      <c r="I223" s="120"/>
      <c r="J223" s="120"/>
      <c r="K223" s="120" t="s">
        <v>498</v>
      </c>
      <c r="L223" s="120"/>
      <c r="M223" s="120"/>
      <c r="N223" s="120"/>
      <c r="O223" s="120"/>
      <c r="P223" s="120"/>
      <c r="Q223" s="120"/>
      <c r="R223" s="199"/>
      <c r="S223" s="199"/>
      <c r="T223" s="199"/>
      <c r="U223" s="199"/>
      <c r="V223" s="199"/>
      <c r="W223" s="199"/>
      <c r="X223" s="199"/>
      <c r="Y223" s="199"/>
      <c r="Z223" s="199"/>
      <c r="AA223" s="199"/>
      <c r="AB223" s="199"/>
      <c r="AC223" s="199"/>
      <c r="AD223" s="199"/>
      <c r="AE223" s="199"/>
    </row>
    <row r="224" spans="5:31" outlineLevel="1" x14ac:dyDescent="0.2">
      <c r="E224" s="39"/>
      <c r="F224" s="39"/>
      <c r="G224" s="314"/>
      <c r="H224" s="314"/>
      <c r="I224" s="120"/>
      <c r="J224" s="120"/>
      <c r="K224" s="120" t="s">
        <v>9</v>
      </c>
      <c r="L224" s="120"/>
      <c r="M224" s="120"/>
      <c r="N224" s="120"/>
      <c r="O224" s="120"/>
      <c r="P224" s="120"/>
      <c r="Q224" s="120"/>
      <c r="R224" s="270">
        <v>15000</v>
      </c>
      <c r="S224" s="199"/>
      <c r="T224" s="199"/>
      <c r="U224" s="199"/>
      <c r="V224" s="199"/>
      <c r="W224" s="199"/>
      <c r="X224" s="199"/>
      <c r="Y224" s="199"/>
      <c r="Z224" s="199"/>
      <c r="AA224" s="199"/>
      <c r="AB224" s="199"/>
      <c r="AC224" s="199"/>
      <c r="AD224" s="199"/>
      <c r="AE224" s="199"/>
    </row>
    <row r="225" spans="5:31" outlineLevel="1" x14ac:dyDescent="0.2">
      <c r="E225" s="39"/>
      <c r="F225" s="39"/>
      <c r="G225" s="314"/>
      <c r="H225" s="314"/>
      <c r="I225" s="120"/>
      <c r="J225" s="120"/>
      <c r="K225" s="120" t="s">
        <v>446</v>
      </c>
      <c r="L225" s="120"/>
      <c r="M225" s="120"/>
      <c r="N225" s="120"/>
      <c r="O225" s="120"/>
      <c r="P225" s="120"/>
      <c r="Q225" s="120"/>
      <c r="R225" s="270">
        <v>15000</v>
      </c>
      <c r="S225" s="199"/>
      <c r="T225" s="199"/>
      <c r="U225" s="199"/>
      <c r="V225" s="199"/>
      <c r="W225" s="199"/>
      <c r="X225" s="199"/>
      <c r="Y225" s="199"/>
      <c r="Z225" s="199"/>
      <c r="AA225" s="199"/>
      <c r="AB225" s="199"/>
      <c r="AC225" s="199"/>
      <c r="AD225" s="199"/>
      <c r="AE225" s="199"/>
    </row>
    <row r="226" spans="5:31" outlineLevel="1" x14ac:dyDescent="0.2">
      <c r="E226" s="39"/>
      <c r="F226" s="39"/>
      <c r="G226" s="314"/>
      <c r="H226" s="314"/>
      <c r="I226" s="120"/>
      <c r="J226" s="120"/>
      <c r="K226" s="120"/>
      <c r="L226" s="120"/>
      <c r="M226" s="120"/>
      <c r="N226" s="120"/>
      <c r="O226" s="120"/>
      <c r="P226" s="120"/>
      <c r="Q226" s="120"/>
      <c r="R226" s="270">
        <v>12000</v>
      </c>
      <c r="S226" s="199"/>
      <c r="T226" s="199"/>
      <c r="U226" s="199"/>
      <c r="V226" s="199"/>
      <c r="W226" s="199"/>
      <c r="X226" s="199"/>
      <c r="Y226" s="199"/>
      <c r="Z226" s="199"/>
      <c r="AA226" s="199"/>
      <c r="AB226" s="199"/>
      <c r="AC226" s="199"/>
      <c r="AD226" s="199"/>
      <c r="AE226" s="199"/>
    </row>
    <row r="227" spans="5:31" outlineLevel="1" x14ac:dyDescent="0.2">
      <c r="E227" s="39"/>
      <c r="F227" s="39"/>
      <c r="G227" s="314"/>
      <c r="H227" s="314"/>
      <c r="I227" s="120"/>
      <c r="J227" s="120" t="s">
        <v>270</v>
      </c>
      <c r="K227" s="120"/>
      <c r="L227" s="120"/>
      <c r="M227" s="120"/>
      <c r="N227" s="120"/>
      <c r="O227" s="120"/>
      <c r="P227" s="120"/>
      <c r="Q227" s="120"/>
      <c r="R227" s="197"/>
      <c r="S227" s="199"/>
      <c r="T227" s="199"/>
      <c r="U227" s="199"/>
      <c r="V227" s="199"/>
      <c r="W227" s="199"/>
      <c r="X227" s="199"/>
      <c r="Y227" s="199"/>
      <c r="Z227" s="199"/>
      <c r="AA227" s="199"/>
      <c r="AB227" s="199"/>
      <c r="AC227" s="199"/>
      <c r="AD227" s="199"/>
      <c r="AE227" s="199"/>
    </row>
    <row r="228" spans="5:31" outlineLevel="1" x14ac:dyDescent="0.2">
      <c r="E228" s="39"/>
      <c r="F228" s="39"/>
      <c r="G228" s="314"/>
      <c r="H228" s="314"/>
      <c r="I228" s="120"/>
      <c r="J228" s="120"/>
      <c r="K228" s="120" t="s">
        <v>498</v>
      </c>
      <c r="L228" s="258"/>
      <c r="M228" s="120"/>
      <c r="N228" s="120"/>
      <c r="O228" s="120"/>
      <c r="P228" s="120"/>
      <c r="Q228" s="120"/>
      <c r="R228" s="197">
        <v>8</v>
      </c>
      <c r="S228" s="7" t="s">
        <v>679</v>
      </c>
      <c r="T228" s="199"/>
      <c r="U228" s="199"/>
      <c r="V228" s="199"/>
      <c r="W228" s="199"/>
      <c r="X228" s="199"/>
      <c r="Y228" s="199"/>
      <c r="Z228" s="199"/>
      <c r="AA228" s="199"/>
      <c r="AB228" s="199"/>
      <c r="AC228" s="199"/>
      <c r="AD228" s="199"/>
      <c r="AE228" s="199"/>
    </row>
    <row r="229" spans="5:31" outlineLevel="1" x14ac:dyDescent="0.2">
      <c r="E229" s="39"/>
      <c r="F229" s="39"/>
      <c r="G229" s="314"/>
      <c r="H229" s="314"/>
      <c r="I229" s="120"/>
      <c r="J229" s="120"/>
      <c r="K229" s="120" t="s">
        <v>9</v>
      </c>
      <c r="L229" s="266" t="s">
        <v>680</v>
      </c>
      <c r="M229" s="120"/>
      <c r="N229" s="120"/>
      <c r="O229" s="120"/>
      <c r="P229" s="120"/>
      <c r="Q229" s="120"/>
      <c r="R229" s="197">
        <f>0.03*40</f>
        <v>1.2</v>
      </c>
      <c r="S229" s="199" t="s">
        <v>681</v>
      </c>
      <c r="T229" s="199"/>
      <c r="U229" s="199"/>
      <c r="V229" s="199"/>
      <c r="W229" s="199"/>
      <c r="X229" s="199"/>
      <c r="Y229" s="199"/>
      <c r="Z229" s="199"/>
      <c r="AA229" s="199"/>
      <c r="AB229" s="199"/>
      <c r="AC229" s="199"/>
      <c r="AD229" s="199"/>
      <c r="AE229" s="199"/>
    </row>
    <row r="230" spans="5:31" outlineLevel="1" x14ac:dyDescent="0.2">
      <c r="E230" s="39"/>
      <c r="F230" s="39"/>
      <c r="G230" s="314"/>
      <c r="H230" s="314"/>
      <c r="I230" s="120"/>
      <c r="J230" s="120"/>
      <c r="K230" s="120" t="s">
        <v>446</v>
      </c>
      <c r="L230" s="258"/>
      <c r="M230" s="120"/>
      <c r="N230" s="120"/>
      <c r="O230" s="120"/>
      <c r="P230" s="120"/>
      <c r="Q230" s="120"/>
      <c r="R230" s="197">
        <v>7.3</v>
      </c>
      <c r="S230" s="199"/>
      <c r="T230" s="199"/>
      <c r="U230" s="199"/>
      <c r="V230" s="199"/>
      <c r="W230" s="199"/>
      <c r="X230" s="199"/>
      <c r="Y230" s="199"/>
      <c r="Z230" s="199"/>
      <c r="AA230" s="199"/>
      <c r="AB230" s="199"/>
      <c r="AC230" s="199"/>
      <c r="AD230" s="199"/>
      <c r="AE230" s="199"/>
    </row>
    <row r="231" spans="5:31" outlineLevel="1" x14ac:dyDescent="0.2">
      <c r="E231" s="39"/>
      <c r="F231" s="39"/>
      <c r="G231" s="314"/>
      <c r="H231" s="314"/>
      <c r="I231" s="120"/>
      <c r="J231" s="120"/>
      <c r="K231" s="120" t="s">
        <v>271</v>
      </c>
      <c r="L231" s="120"/>
      <c r="M231" s="120"/>
      <c r="N231" s="120"/>
      <c r="O231" s="120"/>
      <c r="P231" s="120"/>
      <c r="Q231" s="120"/>
      <c r="R231" s="197">
        <v>1.27</v>
      </c>
      <c r="S231" s="199"/>
      <c r="T231" s="199"/>
      <c r="U231" s="199"/>
      <c r="V231" s="199"/>
      <c r="W231" s="199"/>
      <c r="X231" s="199"/>
      <c r="Y231" s="199"/>
      <c r="Z231" s="199"/>
      <c r="AA231" s="199"/>
      <c r="AB231" s="199"/>
      <c r="AC231" s="199"/>
      <c r="AD231" s="199"/>
      <c r="AE231" s="199"/>
    </row>
    <row r="232" spans="5:31" outlineLevel="1" x14ac:dyDescent="0.2">
      <c r="G232" s="313"/>
      <c r="H232" s="313"/>
      <c r="I232" s="138"/>
      <c r="J232" s="138"/>
      <c r="K232" s="138"/>
      <c r="L232" s="138"/>
      <c r="M232" s="138"/>
      <c r="N232" s="138"/>
      <c r="O232" s="138"/>
      <c r="P232" s="138"/>
      <c r="Q232" s="138"/>
      <c r="R232" s="138"/>
      <c r="S232" s="138"/>
      <c r="T232" s="138"/>
      <c r="U232" s="138"/>
      <c r="V232" s="138"/>
      <c r="W232" s="138"/>
      <c r="X232" s="138"/>
      <c r="Y232" s="138"/>
      <c r="Z232" s="138"/>
      <c r="AA232" s="138"/>
      <c r="AB232" s="138"/>
      <c r="AC232" s="138"/>
      <c r="AD232" s="138"/>
      <c r="AE232" s="138"/>
    </row>
    <row r="233" spans="5:31" outlineLevel="1" x14ac:dyDescent="0.2">
      <c r="G233" s="313"/>
      <c r="H233" s="313"/>
      <c r="I233" s="103" t="s">
        <v>355</v>
      </c>
      <c r="J233" s="104"/>
      <c r="K233" s="93"/>
      <c r="L233" s="123"/>
      <c r="M233" s="123"/>
      <c r="N233" s="123"/>
      <c r="O233" s="129"/>
      <c r="P233" s="123"/>
      <c r="Q233" s="123"/>
      <c r="R233" s="123"/>
      <c r="S233" s="123"/>
      <c r="T233" s="123"/>
      <c r="U233" s="123"/>
      <c r="V233" s="123"/>
      <c r="W233" s="123"/>
      <c r="X233" s="123"/>
      <c r="Y233" s="123"/>
      <c r="Z233" s="123"/>
      <c r="AA233" s="123"/>
      <c r="AB233" s="123"/>
      <c r="AC233" s="123"/>
      <c r="AD233" s="123"/>
      <c r="AE233" s="123"/>
    </row>
    <row r="234" spans="5:31" outlineLevel="1" x14ac:dyDescent="0.2">
      <c r="G234" s="313"/>
      <c r="H234" s="313"/>
      <c r="I234" s="96"/>
      <c r="J234" s="129"/>
      <c r="K234" s="129" t="s">
        <v>673</v>
      </c>
      <c r="L234" s="123"/>
      <c r="M234" s="123"/>
      <c r="N234" s="123"/>
      <c r="O234" s="123"/>
      <c r="P234" s="123"/>
      <c r="Q234" s="123"/>
      <c r="R234" s="200" cm="1">
        <f t="array" ref="R234:R236">$R$211:$R$213*R218*USD_to_CAD</f>
        <v>9.7176293371293285E-2</v>
      </c>
      <c r="S234" s="200" cm="1">
        <f t="array" ref="S234:S236">$R$211:$R$213*S218*USD_to_CAD</f>
        <v>9.6243456234166649E-2</v>
      </c>
      <c r="T234" s="200" cm="1">
        <f t="array" ref="T234:T236">$R$211:$R$213*T218*USD_to_CAD</f>
        <v>9.5310619097039986E-2</v>
      </c>
      <c r="U234" s="200" cm="1">
        <f t="array" ref="U234:U236">$R$211:$R$213*U218*USD_to_CAD</f>
        <v>9.4377781959913309E-2</v>
      </c>
      <c r="V234" s="200" cm="1">
        <f t="array" ref="V234:V236">$R$211:$R$213*V218*USD_to_CAD</f>
        <v>9.3444944822786688E-2</v>
      </c>
      <c r="W234" s="200" cm="1">
        <f t="array" ref="W234:W236">$R$211:$R$213*W218*USD_to_CAD</f>
        <v>9.2512107685660011E-2</v>
      </c>
      <c r="X234" s="200" cm="1">
        <f t="array" ref="X234:X236">$R$211:$R$213*X218*USD_to_CAD</f>
        <v>9.1579270548533348E-2</v>
      </c>
      <c r="Y234" s="200" cm="1">
        <f t="array" ref="Y234:Y236">$R$211:$R$213*Y218*USD_to_CAD</f>
        <v>9.0646433411406685E-2</v>
      </c>
      <c r="Z234" s="200" cm="1">
        <f t="array" ref="Z234:Z236">$R$211:$R$213*Z218*USD_to_CAD</f>
        <v>8.9713596274280022E-2</v>
      </c>
      <c r="AA234" s="200" cm="1">
        <f t="array" ref="AA234:AA236">$R$211:$R$213*AA218*USD_to_CAD</f>
        <v>8.9040744302222918E-2</v>
      </c>
      <c r="AB234" s="200" cm="1">
        <f t="array" ref="AB234:AB236">$R$211:$R$213*AB218*USD_to_CAD</f>
        <v>8.8367892330165815E-2</v>
      </c>
      <c r="AC234" s="200" cm="1">
        <f t="array" ref="AC234:AC236">$R$211:$R$213*AC218*USD_to_CAD</f>
        <v>8.7695040358108725E-2</v>
      </c>
      <c r="AD234" s="200" cm="1">
        <f t="array" ref="AD234:AD236">$R$211:$R$213*AD218*USD_to_CAD</f>
        <v>8.7022188386051622E-2</v>
      </c>
      <c r="AE234" s="200" cm="1">
        <f t="array" ref="AE234:AE236">$R$211:$R$213*AE218*USD_to_CAD</f>
        <v>8.6349336413994518E-2</v>
      </c>
    </row>
    <row r="235" spans="5:31" outlineLevel="1" x14ac:dyDescent="0.2">
      <c r="G235" s="313"/>
      <c r="H235" s="313"/>
      <c r="I235" s="96"/>
      <c r="J235" s="129"/>
      <c r="K235" s="129" t="s">
        <v>674</v>
      </c>
      <c r="L235" s="123"/>
      <c r="M235" s="123"/>
      <c r="N235" s="123"/>
      <c r="O235" s="123"/>
      <c r="P235" s="123"/>
      <c r="Q235" s="123"/>
      <c r="R235" s="200">
        <v>2.8335763663871687E-2</v>
      </c>
      <c r="S235" s="200">
        <v>2.8063756451644436E-2</v>
      </c>
      <c r="T235" s="200">
        <v>2.7791749239417175E-2</v>
      </c>
      <c r="U235" s="200">
        <v>2.7519742027189917E-2</v>
      </c>
      <c r="V235" s="200">
        <v>2.7247734814962662E-2</v>
      </c>
      <c r="W235" s="200">
        <v>2.6975727602735401E-2</v>
      </c>
      <c r="X235" s="200">
        <v>2.6703720390508143E-2</v>
      </c>
      <c r="Y235" s="200">
        <v>2.6431713178280882E-2</v>
      </c>
      <c r="Z235" s="200">
        <v>2.6159705966053624E-2</v>
      </c>
      <c r="AA235" s="200">
        <v>2.5963508171308221E-2</v>
      </c>
      <c r="AB235" s="200">
        <v>2.5767310376562824E-2</v>
      </c>
      <c r="AC235" s="200">
        <v>2.5571112581817421E-2</v>
      </c>
      <c r="AD235" s="200">
        <v>2.5374914787072017E-2</v>
      </c>
      <c r="AE235" s="200">
        <v>2.5178716992326614E-2</v>
      </c>
    </row>
    <row r="236" spans="5:31" outlineLevel="1" x14ac:dyDescent="0.2">
      <c r="I236" s="96"/>
      <c r="J236" s="129"/>
      <c r="K236" s="129" t="s">
        <v>675</v>
      </c>
      <c r="L236" s="201"/>
      <c r="M236" s="201"/>
      <c r="N236" s="201"/>
      <c r="O236" s="201"/>
      <c r="P236" s="123"/>
      <c r="Q236" s="123"/>
      <c r="R236" s="200">
        <v>5.535358483174934E-2</v>
      </c>
      <c r="S236" s="200">
        <v>5.4822221905537961E-2</v>
      </c>
      <c r="T236" s="200">
        <v>5.4290858979326569E-2</v>
      </c>
      <c r="U236" s="200">
        <v>5.3759496053115176E-2</v>
      </c>
      <c r="V236" s="200">
        <v>5.3228133126903797E-2</v>
      </c>
      <c r="W236" s="200">
        <v>5.2696770200692404E-2</v>
      </c>
      <c r="X236" s="200">
        <v>5.2165407274481011E-2</v>
      </c>
      <c r="Y236" s="200">
        <v>5.1634044348269625E-2</v>
      </c>
      <c r="Z236" s="200">
        <v>5.1102681422058233E-2</v>
      </c>
      <c r="AA236" s="200">
        <v>5.0719411311392806E-2</v>
      </c>
      <c r="AB236" s="200">
        <v>5.0336141200727366E-2</v>
      </c>
      <c r="AC236" s="200">
        <v>4.9952871090061926E-2</v>
      </c>
      <c r="AD236" s="200">
        <v>4.9569600979396493E-2</v>
      </c>
      <c r="AE236" s="200">
        <v>4.9186330868731053E-2</v>
      </c>
    </row>
    <row r="237" spans="5:31" x14ac:dyDescent="0.2">
      <c r="O237" s="39"/>
      <c r="S237" s="46"/>
      <c r="T237" s="46"/>
      <c r="U237" s="46"/>
    </row>
    <row r="238" spans="5:31" x14ac:dyDescent="0.2">
      <c r="H238" s="72" t="s">
        <v>682</v>
      </c>
      <c r="O238" s="39"/>
      <c r="S238" s="46"/>
      <c r="T238" s="46"/>
      <c r="U238" s="46"/>
    </row>
    <row r="239" spans="5:31" outlineLevel="1" x14ac:dyDescent="0.2">
      <c r="H239" s="72"/>
      <c r="I239" s="106" t="s">
        <v>668</v>
      </c>
      <c r="J239" s="120"/>
      <c r="K239" s="120"/>
      <c r="L239" s="119"/>
      <c r="M239" s="119"/>
      <c r="N239" s="119"/>
      <c r="O239" s="120"/>
      <c r="P239" s="119"/>
      <c r="Q239" s="119"/>
      <c r="R239" s="119"/>
      <c r="S239" s="121"/>
      <c r="T239" s="121"/>
      <c r="U239" s="121"/>
      <c r="V239" s="119"/>
      <c r="W239" s="119"/>
      <c r="X239" s="119"/>
      <c r="Y239" s="119"/>
      <c r="Z239" s="119"/>
      <c r="AA239" s="119"/>
      <c r="AB239" s="119"/>
      <c r="AC239" s="119"/>
      <c r="AD239" s="119"/>
      <c r="AE239" s="119"/>
    </row>
    <row r="240" spans="5:31" outlineLevel="1" x14ac:dyDescent="0.2">
      <c r="I240" s="81"/>
      <c r="J240" s="176" t="s">
        <v>683</v>
      </c>
      <c r="K240" s="120"/>
      <c r="L240" s="119"/>
      <c r="M240" s="119"/>
      <c r="N240" s="119"/>
      <c r="O240" s="120"/>
      <c r="P240" s="119"/>
      <c r="Q240" s="119"/>
      <c r="R240" s="119"/>
      <c r="S240" s="121"/>
      <c r="T240" s="121"/>
      <c r="U240" s="121"/>
      <c r="V240" s="119"/>
      <c r="W240" s="119"/>
      <c r="X240" s="119"/>
      <c r="Y240" s="119"/>
      <c r="Z240" s="119"/>
      <c r="AA240" s="119"/>
      <c r="AB240" s="119"/>
      <c r="AC240" s="119"/>
      <c r="AD240" s="119"/>
      <c r="AE240" s="119"/>
    </row>
    <row r="241" spans="9:31" outlineLevel="1" x14ac:dyDescent="0.2">
      <c r="I241" s="176"/>
      <c r="J241" s="114"/>
      <c r="K241" s="114" t="s">
        <v>498</v>
      </c>
      <c r="L241" s="119"/>
      <c r="M241" s="119"/>
      <c r="N241" s="119"/>
      <c r="O241" s="120"/>
      <c r="P241" s="119"/>
      <c r="Q241" s="119"/>
      <c r="R241" s="119"/>
      <c r="S241" s="121"/>
      <c r="T241" s="121"/>
      <c r="U241" s="121"/>
      <c r="V241" s="119"/>
      <c r="W241" s="119"/>
      <c r="X241" s="119"/>
      <c r="Y241" s="119"/>
      <c r="Z241" s="119"/>
      <c r="AA241" s="119"/>
      <c r="AB241" s="119"/>
      <c r="AC241" s="119"/>
      <c r="AD241" s="119"/>
      <c r="AE241" s="119"/>
    </row>
    <row r="242" spans="9:31" outlineLevel="1" x14ac:dyDescent="0.2">
      <c r="I242" s="176"/>
      <c r="J242" s="120"/>
      <c r="K242" s="114" t="s">
        <v>684</v>
      </c>
      <c r="L242" s="245" t="s">
        <v>685</v>
      </c>
      <c r="M242" s="119" t="s">
        <v>8</v>
      </c>
      <c r="N242" s="119" t="s">
        <v>686</v>
      </c>
      <c r="O242" s="120"/>
      <c r="P242" s="119"/>
      <c r="Q242" s="119"/>
      <c r="R242" s="119"/>
      <c r="S242" s="121"/>
      <c r="T242" s="121"/>
      <c r="U242" s="121"/>
      <c r="V242" s="119"/>
      <c r="W242" s="119"/>
      <c r="X242" s="119"/>
      <c r="Y242" s="119"/>
      <c r="Z242" s="119"/>
      <c r="AA242" s="119"/>
      <c r="AB242" s="119"/>
      <c r="AC242" s="119"/>
      <c r="AD242" s="119"/>
      <c r="AE242" s="119"/>
    </row>
    <row r="243" spans="9:31" outlineLevel="1" x14ac:dyDescent="0.2">
      <c r="I243" s="81"/>
      <c r="J243" s="120"/>
      <c r="K243" s="81" t="s">
        <v>687</v>
      </c>
      <c r="L243" s="246">
        <v>3148.699999999998</v>
      </c>
      <c r="M243" s="120"/>
      <c r="N243" s="121">
        <f>L243/SUM($L$243:$L$246)</f>
        <v>3.8551529168620487E-2</v>
      </c>
      <c r="O243" s="120"/>
      <c r="P243" s="119"/>
      <c r="Q243" s="119"/>
      <c r="R243" s="119"/>
      <c r="S243" s="121"/>
      <c r="T243" s="121"/>
      <c r="U243" s="121"/>
      <c r="V243" s="119"/>
      <c r="W243" s="119"/>
      <c r="X243" s="119"/>
      <c r="Y243" s="119"/>
      <c r="Z243" s="119"/>
      <c r="AA243" s="119"/>
      <c r="AB243" s="119"/>
      <c r="AC243" s="119"/>
      <c r="AD243" s="119"/>
      <c r="AE243" s="119"/>
    </row>
    <row r="244" spans="9:31" outlineLevel="1" x14ac:dyDescent="0.2">
      <c r="I244" s="81"/>
      <c r="J244" s="120"/>
      <c r="K244" s="81" t="s">
        <v>688</v>
      </c>
      <c r="L244" s="246">
        <v>9498</v>
      </c>
      <c r="M244" s="119"/>
      <c r="N244" s="121">
        <f>L244/SUM($L$243:$L$246)</f>
        <v>0.1162900320905636</v>
      </c>
      <c r="O244" s="119"/>
      <c r="P244" s="119"/>
      <c r="Q244" s="119"/>
      <c r="R244" s="119"/>
      <c r="S244" s="119"/>
      <c r="T244" s="119"/>
      <c r="U244" s="119"/>
      <c r="V244" s="119"/>
      <c r="W244" s="119"/>
      <c r="X244" s="119"/>
      <c r="Y244" s="119"/>
      <c r="Z244" s="119"/>
      <c r="AA244" s="119"/>
      <c r="AB244" s="119"/>
      <c r="AC244" s="119"/>
      <c r="AD244" s="119"/>
      <c r="AE244" s="119"/>
    </row>
    <row r="245" spans="9:31" outlineLevel="1" x14ac:dyDescent="0.2">
      <c r="I245" s="81"/>
      <c r="J245" s="120"/>
      <c r="K245" s="81" t="s">
        <v>689</v>
      </c>
      <c r="L245" s="246">
        <v>992.00000000000034</v>
      </c>
      <c r="M245" s="119"/>
      <c r="N245" s="121">
        <f>L245/SUM($L$243:$L$246)</f>
        <v>1.2145684547677314E-2</v>
      </c>
      <c r="O245" s="119"/>
      <c r="P245" s="119"/>
      <c r="Q245" s="119"/>
      <c r="R245" s="119"/>
      <c r="S245" s="119"/>
      <c r="T245" s="119"/>
      <c r="U245" s="119"/>
      <c r="V245" s="119"/>
      <c r="W245" s="119"/>
      <c r="X245" s="119"/>
      <c r="Y245" s="119"/>
      <c r="Z245" s="119"/>
      <c r="AA245" s="119"/>
      <c r="AB245" s="119"/>
      <c r="AC245" s="119"/>
      <c r="AD245" s="119"/>
      <c r="AE245" s="119"/>
    </row>
    <row r="246" spans="9:31" outlineLevel="1" x14ac:dyDescent="0.2">
      <c r="I246" s="81"/>
      <c r="J246" s="120"/>
      <c r="K246" s="81" t="s">
        <v>690</v>
      </c>
      <c r="L246" s="246">
        <v>68036.400000000081</v>
      </c>
      <c r="M246" s="176" t="s">
        <v>691</v>
      </c>
      <c r="N246" s="121">
        <f>L246/SUM($L$243:$L$246)</f>
        <v>0.83301275419313858</v>
      </c>
      <c r="O246" s="119"/>
      <c r="P246" s="119"/>
      <c r="Q246" s="119"/>
      <c r="R246" s="119"/>
      <c r="S246" s="119"/>
      <c r="T246" s="119"/>
      <c r="U246" s="119"/>
      <c r="V246" s="119"/>
      <c r="W246" s="119"/>
      <c r="X246" s="119"/>
      <c r="Y246" s="119"/>
      <c r="Z246" s="119"/>
      <c r="AA246" s="119"/>
      <c r="AB246" s="119"/>
      <c r="AC246" s="119"/>
      <c r="AD246" s="119"/>
      <c r="AE246" s="119"/>
    </row>
    <row r="247" spans="9:31" outlineLevel="1" x14ac:dyDescent="0.2">
      <c r="I247" s="81"/>
      <c r="J247" s="120"/>
      <c r="K247" s="114" t="s">
        <v>9</v>
      </c>
      <c r="L247" s="119"/>
      <c r="M247" s="119"/>
      <c r="N247" s="119"/>
      <c r="O247" s="119"/>
      <c r="P247" s="125"/>
      <c r="Q247" s="177"/>
      <c r="R247" s="119"/>
      <c r="S247" s="119"/>
      <c r="T247" s="119"/>
      <c r="U247" s="119"/>
      <c r="V247" s="119"/>
      <c r="W247" s="119"/>
      <c r="X247" s="119"/>
      <c r="Y247" s="119"/>
      <c r="Z247" s="119"/>
      <c r="AA247" s="119"/>
      <c r="AB247" s="119"/>
      <c r="AC247" s="119"/>
      <c r="AD247" s="119"/>
      <c r="AE247" s="119"/>
    </row>
    <row r="248" spans="9:31" outlineLevel="1" x14ac:dyDescent="0.2">
      <c r="I248" s="81"/>
      <c r="J248" s="120"/>
      <c r="K248" s="120" t="s">
        <v>687</v>
      </c>
      <c r="L248" s="246">
        <v>17820.3</v>
      </c>
      <c r="M248" s="119"/>
      <c r="N248" s="121">
        <f>L248/SUM($L$248:$L$254)</f>
        <v>5.0074412077430082E-2</v>
      </c>
      <c r="O248" s="119"/>
      <c r="P248" s="125"/>
      <c r="Q248" s="177"/>
      <c r="R248" s="119"/>
      <c r="S248" s="119"/>
      <c r="T248" s="119"/>
      <c r="U248" s="119"/>
      <c r="V248" s="119"/>
      <c r="W248" s="119"/>
      <c r="X248" s="119"/>
      <c r="Y248" s="119"/>
      <c r="Z248" s="119"/>
      <c r="AA248" s="119"/>
      <c r="AB248" s="119"/>
      <c r="AC248" s="119"/>
      <c r="AD248" s="119"/>
      <c r="AE248" s="119"/>
    </row>
    <row r="249" spans="9:31" outlineLevel="1" x14ac:dyDescent="0.2">
      <c r="I249" s="81"/>
      <c r="J249" s="120"/>
      <c r="K249" s="120" t="s">
        <v>692</v>
      </c>
      <c r="L249" s="246">
        <v>50</v>
      </c>
      <c r="M249" s="119"/>
      <c r="N249" s="121">
        <f t="shared" ref="N249:N254" si="25">L249/SUM($L$248:$L$254)</f>
        <v>1.4049822976445426E-4</v>
      </c>
      <c r="O249" s="119"/>
      <c r="P249" s="125"/>
      <c r="Q249" s="177"/>
      <c r="R249" s="119"/>
      <c r="S249" s="119"/>
      <c r="T249" s="119"/>
      <c r="U249" s="119"/>
      <c r="V249" s="119"/>
      <c r="W249" s="119"/>
      <c r="X249" s="119"/>
      <c r="Y249" s="119"/>
      <c r="Z249" s="119"/>
      <c r="AA249" s="119"/>
      <c r="AB249" s="119"/>
      <c r="AC249" s="119"/>
      <c r="AD249" s="119"/>
      <c r="AE249" s="119"/>
    </row>
    <row r="250" spans="9:31" outlineLevel="1" x14ac:dyDescent="0.2">
      <c r="I250" s="81"/>
      <c r="J250" s="120"/>
      <c r="K250" s="120" t="s">
        <v>688</v>
      </c>
      <c r="L250" s="246">
        <v>97737.900000000125</v>
      </c>
      <c r="M250" s="119"/>
      <c r="N250" s="121">
        <f t="shared" si="25"/>
        <v>0.27464003861790542</v>
      </c>
      <c r="O250" s="119"/>
      <c r="P250" s="125"/>
      <c r="Q250" s="177"/>
      <c r="R250" s="119"/>
      <c r="S250" s="119"/>
      <c r="T250" s="119"/>
      <c r="U250" s="119"/>
      <c r="V250" s="119"/>
      <c r="W250" s="119"/>
      <c r="X250" s="119"/>
      <c r="Y250" s="119"/>
      <c r="Z250" s="119"/>
      <c r="AA250" s="119"/>
      <c r="AB250" s="119"/>
      <c r="AC250" s="119"/>
      <c r="AD250" s="119"/>
      <c r="AE250" s="119"/>
    </row>
    <row r="251" spans="9:31" outlineLevel="1" x14ac:dyDescent="0.2">
      <c r="I251" s="81"/>
      <c r="J251" s="120"/>
      <c r="K251" s="120" t="s">
        <v>693</v>
      </c>
      <c r="L251" s="246">
        <v>40</v>
      </c>
      <c r="M251" s="119"/>
      <c r="N251" s="121">
        <f t="shared" si="25"/>
        <v>1.123985838115634E-4</v>
      </c>
      <c r="O251" s="119"/>
      <c r="P251" s="125"/>
      <c r="Q251" s="177"/>
      <c r="R251" s="119"/>
      <c r="S251" s="119"/>
      <c r="T251" s="119"/>
      <c r="U251" s="119"/>
      <c r="V251" s="119"/>
      <c r="W251" s="119"/>
      <c r="X251" s="119"/>
      <c r="Y251" s="119"/>
      <c r="Z251" s="119"/>
      <c r="AA251" s="119"/>
      <c r="AB251" s="119"/>
      <c r="AC251" s="119"/>
      <c r="AD251" s="119"/>
      <c r="AE251" s="119"/>
    </row>
    <row r="252" spans="9:31" outlineLevel="1" x14ac:dyDescent="0.2">
      <c r="I252" s="81"/>
      <c r="J252" s="120"/>
      <c r="K252" s="120" t="s">
        <v>694</v>
      </c>
      <c r="L252" s="246">
        <v>765.60000000000036</v>
      </c>
      <c r="M252" s="119"/>
      <c r="N252" s="121">
        <f t="shared" si="25"/>
        <v>2.1513088941533245E-3</v>
      </c>
      <c r="O252" s="119"/>
      <c r="P252" s="125"/>
      <c r="Q252" s="177"/>
      <c r="R252" s="119"/>
      <c r="S252" s="119"/>
      <c r="T252" s="119"/>
      <c r="U252" s="119"/>
      <c r="V252" s="119"/>
      <c r="W252" s="119"/>
      <c r="X252" s="119"/>
      <c r="Y252" s="119"/>
      <c r="Z252" s="119"/>
      <c r="AA252" s="119"/>
      <c r="AB252" s="119"/>
      <c r="AC252" s="119"/>
      <c r="AD252" s="119"/>
      <c r="AE252" s="119"/>
    </row>
    <row r="253" spans="9:31" outlineLevel="1" x14ac:dyDescent="0.2">
      <c r="I253" s="81"/>
      <c r="J253" s="120"/>
      <c r="K253" s="120" t="s">
        <v>689</v>
      </c>
      <c r="L253" s="246">
        <v>173603.1200000002</v>
      </c>
      <c r="M253" s="176" t="s">
        <v>695</v>
      </c>
      <c r="N253" s="121">
        <f t="shared" si="25"/>
        <v>0.48781862083172306</v>
      </c>
      <c r="O253" s="119"/>
      <c r="P253" s="125"/>
      <c r="Q253" s="177"/>
      <c r="R253" s="119"/>
      <c r="S253" s="119"/>
      <c r="T253" s="119"/>
      <c r="U253" s="119"/>
      <c r="V253" s="119"/>
      <c r="W253" s="119"/>
      <c r="X253" s="119"/>
      <c r="Y253" s="119"/>
      <c r="Z253" s="119"/>
      <c r="AA253" s="119"/>
      <c r="AB253" s="119"/>
      <c r="AC253" s="119"/>
      <c r="AD253" s="119"/>
      <c r="AE253" s="119"/>
    </row>
    <row r="254" spans="9:31" outlineLevel="1" x14ac:dyDescent="0.2">
      <c r="I254" s="81"/>
      <c r="J254" s="120"/>
      <c r="K254" s="120" t="s">
        <v>690</v>
      </c>
      <c r="L254" s="246">
        <v>65859.450000000099</v>
      </c>
      <c r="M254" s="119"/>
      <c r="N254" s="121">
        <f t="shared" si="25"/>
        <v>0.18506272276521202</v>
      </c>
      <c r="O254" s="119"/>
      <c r="P254" s="125"/>
      <c r="Q254" s="177"/>
      <c r="R254" s="119"/>
      <c r="S254" s="119"/>
      <c r="T254" s="119"/>
      <c r="U254" s="119"/>
      <c r="V254" s="119"/>
      <c r="W254" s="119"/>
      <c r="X254" s="119"/>
      <c r="Y254" s="119"/>
      <c r="Z254" s="119"/>
      <c r="AA254" s="119"/>
      <c r="AB254" s="119"/>
      <c r="AC254" s="119"/>
      <c r="AD254" s="119"/>
      <c r="AE254" s="119"/>
    </row>
    <row r="255" spans="9:31" outlineLevel="1" x14ac:dyDescent="0.2">
      <c r="I255" s="81"/>
      <c r="J255" s="84" t="s">
        <v>541</v>
      </c>
      <c r="K255" s="120"/>
      <c r="L255" s="119"/>
      <c r="M255" s="119"/>
      <c r="N255" s="119"/>
      <c r="O255" s="119"/>
      <c r="P255" s="125"/>
      <c r="Q255" s="177"/>
      <c r="R255" s="119"/>
      <c r="S255" s="119"/>
      <c r="T255" s="119"/>
      <c r="U255" s="119"/>
      <c r="V255" s="119"/>
      <c r="W255" s="119"/>
      <c r="X255" s="119"/>
      <c r="Y255" s="119"/>
      <c r="Z255" s="119"/>
      <c r="AA255" s="119"/>
      <c r="AB255" s="119"/>
      <c r="AC255" s="119"/>
      <c r="AD255" s="119"/>
      <c r="AE255" s="119"/>
    </row>
    <row r="256" spans="9:31" outlineLevel="1" x14ac:dyDescent="0.2">
      <c r="I256" s="81"/>
      <c r="J256" s="120"/>
      <c r="K256" s="120" t="s">
        <v>696</v>
      </c>
      <c r="L256" s="119">
        <v>67</v>
      </c>
      <c r="M256" s="119">
        <v>77</v>
      </c>
      <c r="N256" s="119">
        <v>97</v>
      </c>
      <c r="O256" s="119">
        <v>117</v>
      </c>
      <c r="P256" s="125"/>
      <c r="Q256" s="247"/>
      <c r="R256" s="119"/>
      <c r="S256" s="119"/>
      <c r="T256" s="119"/>
      <c r="U256" s="119"/>
      <c r="V256" s="119"/>
      <c r="W256" s="119"/>
      <c r="X256" s="119"/>
      <c r="Y256" s="119"/>
      <c r="Z256" s="119"/>
      <c r="AA256" s="119"/>
      <c r="AB256" s="119"/>
      <c r="AC256" s="119"/>
      <c r="AD256" s="119"/>
      <c r="AE256" s="119"/>
    </row>
    <row r="257" spans="9:31" outlineLevel="1" x14ac:dyDescent="0.2">
      <c r="I257" s="81"/>
      <c r="J257" s="120"/>
      <c r="K257" s="120" t="s">
        <v>249</v>
      </c>
      <c r="L257" s="119">
        <v>134</v>
      </c>
      <c r="M257" s="119">
        <v>154</v>
      </c>
      <c r="N257" s="119">
        <v>194</v>
      </c>
      <c r="O257" s="119">
        <v>234</v>
      </c>
      <c r="P257" s="125"/>
      <c r="Q257" s="247"/>
      <c r="R257" s="119"/>
      <c r="S257" s="119"/>
      <c r="T257" s="119"/>
      <c r="U257" s="119"/>
      <c r="V257" s="119"/>
      <c r="W257" s="119"/>
      <c r="X257" s="119"/>
      <c r="Y257" s="119"/>
      <c r="Z257" s="119"/>
      <c r="AA257" s="119"/>
      <c r="AB257" s="119"/>
      <c r="AC257" s="119"/>
      <c r="AD257" s="119"/>
      <c r="AE257" s="119"/>
    </row>
    <row r="258" spans="9:31" outlineLevel="1" x14ac:dyDescent="0.2">
      <c r="I258" s="81"/>
      <c r="J258" s="120"/>
      <c r="K258" s="120" t="s">
        <v>697</v>
      </c>
      <c r="L258" s="119">
        <v>18.64</v>
      </c>
      <c r="M258" s="119">
        <v>25.314</v>
      </c>
      <c r="N258" s="119">
        <v>42.070999999999998</v>
      </c>
      <c r="O258" s="119">
        <v>63.545999999999999</v>
      </c>
      <c r="P258" s="119"/>
      <c r="Q258" s="119"/>
      <c r="R258" s="119"/>
      <c r="S258" s="119"/>
      <c r="T258" s="119"/>
      <c r="U258" s="119"/>
      <c r="V258" s="119"/>
      <c r="W258" s="119"/>
      <c r="X258" s="119"/>
      <c r="Y258" s="119"/>
      <c r="Z258" s="119"/>
      <c r="AA258" s="119"/>
      <c r="AB258" s="119"/>
      <c r="AC258" s="119"/>
      <c r="AD258" s="119"/>
      <c r="AE258" s="119"/>
    </row>
    <row r="259" spans="9:31" outlineLevel="1" x14ac:dyDescent="0.2">
      <c r="I259" s="81"/>
      <c r="J259" s="120"/>
      <c r="K259" s="120" t="s">
        <v>698</v>
      </c>
      <c r="L259" s="119"/>
      <c r="M259" s="119">
        <v>28.219000000000001</v>
      </c>
      <c r="N259" s="119">
        <v>47.268000000000001</v>
      </c>
      <c r="O259" s="119">
        <v>72.694999999999993</v>
      </c>
      <c r="P259" s="125"/>
      <c r="Q259" s="248"/>
      <c r="R259" s="119"/>
      <c r="S259" s="119"/>
      <c r="T259" s="119"/>
      <c r="U259" s="119"/>
      <c r="V259" s="119"/>
      <c r="W259" s="119"/>
      <c r="X259" s="119"/>
      <c r="Y259" s="119"/>
      <c r="Z259" s="119"/>
      <c r="AA259" s="119"/>
      <c r="AB259" s="119"/>
      <c r="AC259" s="119"/>
      <c r="AD259" s="119"/>
      <c r="AE259" s="119"/>
    </row>
    <row r="260" spans="9:31" outlineLevel="1" x14ac:dyDescent="0.2">
      <c r="I260" s="81"/>
      <c r="J260" s="120"/>
      <c r="K260" s="120"/>
      <c r="L260" s="119"/>
      <c r="M260" s="119"/>
      <c r="N260" s="119"/>
      <c r="O260" s="119"/>
      <c r="P260" s="125"/>
      <c r="Q260" s="248"/>
      <c r="R260" s="119"/>
      <c r="S260" s="119"/>
      <c r="T260" s="119"/>
      <c r="U260" s="119"/>
      <c r="V260" s="119"/>
      <c r="W260" s="119"/>
      <c r="X260" s="119"/>
      <c r="Y260" s="119"/>
      <c r="Z260" s="119"/>
      <c r="AA260" s="119"/>
      <c r="AB260" s="119"/>
      <c r="AC260" s="119"/>
      <c r="AD260" s="119"/>
      <c r="AE260" s="119"/>
    </row>
    <row r="261" spans="9:31" outlineLevel="1" x14ac:dyDescent="0.2">
      <c r="I261" s="81"/>
      <c r="J261" s="120"/>
      <c r="K261" s="120"/>
      <c r="L261" s="119" t="s">
        <v>699</v>
      </c>
      <c r="M261" s="119" t="s">
        <v>700</v>
      </c>
      <c r="N261" s="119"/>
      <c r="O261" s="119"/>
      <c r="P261" s="125"/>
      <c r="Q261" s="248"/>
      <c r="R261" s="119"/>
      <c r="S261" s="119"/>
      <c r="T261" s="119"/>
      <c r="U261" s="119"/>
      <c r="V261" s="119"/>
      <c r="W261" s="119"/>
      <c r="X261" s="119"/>
      <c r="Y261" s="119"/>
      <c r="Z261" s="119"/>
      <c r="AA261" s="119"/>
      <c r="AB261" s="119"/>
      <c r="AC261" s="119"/>
      <c r="AD261" s="119"/>
      <c r="AE261" s="119"/>
    </row>
    <row r="262" spans="9:31" outlineLevel="1" x14ac:dyDescent="0.2">
      <c r="I262" s="81"/>
      <c r="J262" s="120"/>
      <c r="K262" s="120" t="s">
        <v>701</v>
      </c>
      <c r="L262" s="119">
        <v>740</v>
      </c>
      <c r="M262" s="119">
        <v>976</v>
      </c>
      <c r="N262" s="119"/>
      <c r="O262" s="119"/>
      <c r="P262" s="125"/>
      <c r="Q262" s="248"/>
      <c r="R262" s="119"/>
      <c r="S262" s="119"/>
      <c r="T262" s="119"/>
      <c r="U262" s="119"/>
      <c r="V262" s="119"/>
      <c r="W262" s="119"/>
      <c r="X262" s="119"/>
      <c r="Y262" s="119"/>
      <c r="Z262" s="119"/>
      <c r="AA262" s="119"/>
      <c r="AB262" s="119"/>
      <c r="AC262" s="119"/>
      <c r="AD262" s="119"/>
      <c r="AE262" s="119"/>
    </row>
    <row r="263" spans="9:31" outlineLevel="1" x14ac:dyDescent="0.2">
      <c r="I263" s="81"/>
      <c r="J263" s="120"/>
      <c r="K263" s="120" t="s">
        <v>702</v>
      </c>
      <c r="L263" s="183">
        <v>40085</v>
      </c>
      <c r="M263" s="183">
        <v>52330</v>
      </c>
      <c r="N263" s="119"/>
      <c r="O263" s="119"/>
      <c r="P263" s="125"/>
      <c r="Q263" s="248"/>
      <c r="R263" s="119"/>
      <c r="S263" s="119"/>
      <c r="T263" s="119"/>
      <c r="U263" s="119"/>
      <c r="V263" s="119"/>
      <c r="W263" s="119"/>
      <c r="X263" s="119"/>
      <c r="Y263" s="119"/>
      <c r="Z263" s="119"/>
      <c r="AA263" s="119"/>
      <c r="AB263" s="119"/>
      <c r="AC263" s="119"/>
      <c r="AD263" s="119"/>
      <c r="AE263" s="119"/>
    </row>
    <row r="264" spans="9:31" outlineLevel="1" x14ac:dyDescent="0.2">
      <c r="I264" s="81"/>
      <c r="J264" s="120"/>
      <c r="K264" s="120" t="s">
        <v>703</v>
      </c>
      <c r="L264" s="183">
        <f>L263/L262</f>
        <v>54.168918918918919</v>
      </c>
      <c r="M264" s="183">
        <f>M263/M262</f>
        <v>53.616803278688522</v>
      </c>
      <c r="N264" s="119"/>
      <c r="O264" s="119"/>
      <c r="P264" s="125"/>
      <c r="Q264" s="248"/>
      <c r="R264" s="119"/>
      <c r="S264" s="119"/>
      <c r="T264" s="119"/>
      <c r="U264" s="119"/>
      <c r="V264" s="119"/>
      <c r="W264" s="119"/>
      <c r="X264" s="119"/>
      <c r="Y264" s="119"/>
      <c r="Z264" s="119"/>
      <c r="AA264" s="119"/>
      <c r="AB264" s="119"/>
      <c r="AC264" s="119"/>
      <c r="AD264" s="119"/>
      <c r="AE264" s="119"/>
    </row>
    <row r="265" spans="9:31" outlineLevel="1" x14ac:dyDescent="0.2">
      <c r="I265" s="81"/>
      <c r="J265" s="120"/>
      <c r="K265" s="120" t="s">
        <v>704</v>
      </c>
      <c r="L265" s="119">
        <f>18640/1000</f>
        <v>18.64</v>
      </c>
      <c r="M265" s="119">
        <f>18640/1000</f>
        <v>18.64</v>
      </c>
      <c r="N265" s="119"/>
      <c r="O265" s="119"/>
      <c r="P265" s="125"/>
      <c r="Q265" s="248"/>
      <c r="R265" s="119"/>
      <c r="S265" s="119"/>
      <c r="T265" s="119"/>
      <c r="U265" s="119"/>
      <c r="V265" s="119"/>
      <c r="W265" s="119"/>
      <c r="X265" s="119"/>
      <c r="Y265" s="119"/>
      <c r="Z265" s="119"/>
      <c r="AA265" s="119"/>
      <c r="AB265" s="119"/>
      <c r="AC265" s="119"/>
      <c r="AD265" s="119"/>
      <c r="AE265" s="119"/>
    </row>
    <row r="266" spans="9:31" outlineLevel="1" x14ac:dyDescent="0.2">
      <c r="I266" s="81"/>
      <c r="J266" s="120"/>
      <c r="K266" s="120" t="s">
        <v>705</v>
      </c>
      <c r="L266" s="183">
        <f>L264/L265</f>
        <v>2.9060578819162508</v>
      </c>
      <c r="M266" s="183">
        <f>M264/M265</f>
        <v>2.8764379441356502</v>
      </c>
      <c r="N266" s="119"/>
      <c r="O266" s="119"/>
      <c r="P266" s="125"/>
      <c r="Q266" s="248"/>
      <c r="R266" s="119"/>
      <c r="S266" s="119"/>
      <c r="T266" s="119"/>
      <c r="U266" s="119"/>
      <c r="V266" s="119"/>
      <c r="W266" s="119"/>
      <c r="X266" s="119"/>
      <c r="Y266" s="119"/>
      <c r="Z266" s="119"/>
      <c r="AA266" s="119"/>
      <c r="AB266" s="119"/>
      <c r="AC266" s="119"/>
      <c r="AD266" s="119"/>
      <c r="AE266" s="119"/>
    </row>
    <row r="267" spans="9:31" outlineLevel="1" x14ac:dyDescent="0.2">
      <c r="I267" s="81"/>
      <c r="J267" s="120"/>
      <c r="K267" s="120"/>
      <c r="L267" s="119"/>
      <c r="M267" s="119"/>
      <c r="N267" s="119"/>
      <c r="O267" s="119"/>
      <c r="P267" s="125"/>
      <c r="Q267" s="248"/>
      <c r="R267" s="119"/>
      <c r="S267" s="119"/>
      <c r="T267" s="119"/>
      <c r="U267" s="119"/>
      <c r="V267" s="119"/>
      <c r="W267" s="119"/>
      <c r="X267" s="119"/>
      <c r="Y267" s="119"/>
      <c r="Z267" s="119"/>
      <c r="AA267" s="119"/>
      <c r="AB267" s="119"/>
      <c r="AC267" s="119"/>
      <c r="AD267" s="119"/>
      <c r="AE267" s="119"/>
    </row>
    <row r="268" spans="9:31" outlineLevel="1" x14ac:dyDescent="0.2">
      <c r="I268" s="81"/>
      <c r="J268" s="120"/>
      <c r="K268" s="120"/>
      <c r="L268" s="119"/>
      <c r="M268" s="249"/>
      <c r="N268" s="119"/>
      <c r="O268" s="119"/>
      <c r="P268" s="125"/>
      <c r="Q268" s="248"/>
      <c r="R268" s="119"/>
      <c r="S268" s="119"/>
      <c r="T268" s="119"/>
      <c r="U268" s="119"/>
      <c r="V268" s="119"/>
      <c r="W268" s="119"/>
      <c r="X268" s="119"/>
      <c r="Y268" s="119"/>
      <c r="Z268" s="119"/>
      <c r="AA268" s="119"/>
      <c r="AB268" s="119"/>
      <c r="AC268" s="119"/>
      <c r="AD268" s="119"/>
      <c r="AE268" s="119"/>
    </row>
    <row r="269" spans="9:31" outlineLevel="1" x14ac:dyDescent="0.2">
      <c r="I269" s="81"/>
      <c r="J269" s="120"/>
      <c r="K269" s="120" t="s">
        <v>705</v>
      </c>
      <c r="L269" s="183">
        <f>AVERAGE(L266:M266)</f>
        <v>2.8912479130259507</v>
      </c>
      <c r="M269" s="251"/>
      <c r="N269" s="119"/>
      <c r="O269" s="119"/>
      <c r="P269" s="125"/>
      <c r="Q269" s="119"/>
      <c r="R269" s="119"/>
      <c r="S269" s="119"/>
      <c r="T269" s="119"/>
      <c r="U269" s="119"/>
      <c r="V269" s="119"/>
      <c r="W269" s="119"/>
      <c r="X269" s="119"/>
      <c r="Y269" s="119"/>
      <c r="Z269" s="119"/>
      <c r="AA269" s="119"/>
      <c r="AB269" s="119"/>
      <c r="AC269" s="119"/>
      <c r="AD269" s="119"/>
      <c r="AE269" s="119"/>
    </row>
    <row r="270" spans="9:31" outlineLevel="1" x14ac:dyDescent="0.2">
      <c r="I270" s="81"/>
      <c r="J270" s="176"/>
      <c r="K270" s="120" t="s">
        <v>706</v>
      </c>
      <c r="L270" s="119">
        <v>1042</v>
      </c>
      <c r="M270" s="250" t="s">
        <v>707</v>
      </c>
      <c r="N270" s="119"/>
      <c r="O270" s="119"/>
      <c r="P270" s="125"/>
      <c r="Q270" s="247"/>
      <c r="R270" s="119"/>
      <c r="S270" s="119"/>
      <c r="T270" s="119"/>
      <c r="U270" s="119"/>
      <c r="V270" s="119"/>
      <c r="W270" s="119"/>
      <c r="X270" s="119"/>
      <c r="Y270" s="119"/>
      <c r="Z270" s="119"/>
      <c r="AA270" s="119"/>
      <c r="AB270" s="119"/>
      <c r="AC270" s="119"/>
      <c r="AD270" s="119"/>
      <c r="AE270" s="119"/>
    </row>
    <row r="271" spans="9:31" outlineLevel="1" x14ac:dyDescent="0.2">
      <c r="I271" s="81"/>
      <c r="J271" s="176"/>
      <c r="K271" s="120" t="s">
        <v>708</v>
      </c>
      <c r="L271" s="119">
        <v>744</v>
      </c>
      <c r="M271" s="250" t="s">
        <v>709</v>
      </c>
      <c r="N271" s="119"/>
      <c r="O271" s="119"/>
      <c r="P271" s="125"/>
      <c r="Q271" s="247"/>
      <c r="R271" s="119"/>
      <c r="S271" s="119"/>
      <c r="T271" s="119"/>
      <c r="U271" s="119"/>
      <c r="V271" s="119"/>
      <c r="W271" s="119"/>
      <c r="X271" s="119"/>
      <c r="Y271" s="119"/>
      <c r="Z271" s="119"/>
      <c r="AA271" s="119"/>
      <c r="AB271" s="119"/>
      <c r="AC271" s="119"/>
      <c r="AD271" s="119"/>
      <c r="AE271" s="119"/>
    </row>
    <row r="272" spans="9:31" outlineLevel="1" x14ac:dyDescent="0.2">
      <c r="I272" s="81"/>
      <c r="J272" s="120"/>
      <c r="K272" s="120" t="s">
        <v>710</v>
      </c>
      <c r="L272" s="119"/>
      <c r="M272" s="119"/>
      <c r="N272" s="119"/>
      <c r="O272" s="119"/>
      <c r="P272" s="125"/>
      <c r="Q272" s="119"/>
      <c r="R272" s="173">
        <f t="shared" ref="R272:AE272" si="26">(0.0003*R201^(2.2608))*3</f>
        <v>59.528490827926525</v>
      </c>
      <c r="S272" s="173">
        <f t="shared" si="26"/>
        <v>65.210087117920921</v>
      </c>
      <c r="T272" s="173">
        <f t="shared" si="26"/>
        <v>71.252183623568271</v>
      </c>
      <c r="U272" s="173">
        <f t="shared" si="26"/>
        <v>77.532657355053871</v>
      </c>
      <c r="V272" s="173">
        <f t="shared" si="26"/>
        <v>83.904457142012177</v>
      </c>
      <c r="W272" s="173">
        <f t="shared" si="26"/>
        <v>90.196302567184674</v>
      </c>
      <c r="X272" s="173">
        <f t="shared" si="26"/>
        <v>96.214827735503349</v>
      </c>
      <c r="Y272" s="173">
        <f t="shared" si="26"/>
        <v>101.74822853044915</v>
      </c>
      <c r="Z272" s="173">
        <f t="shared" si="26"/>
        <v>106.57145168376672</v>
      </c>
      <c r="AA272" s="173">
        <f t="shared" si="26"/>
        <v>110.45294018613254</v>
      </c>
      <c r="AB272" s="173">
        <f t="shared" si="26"/>
        <v>113.16292210495092</v>
      </c>
      <c r="AC272" s="173">
        <f t="shared" si="26"/>
        <v>114.48319807304691</v>
      </c>
      <c r="AD272" s="173">
        <f t="shared" si="26"/>
        <v>114.48319807304691</v>
      </c>
      <c r="AE272" s="173">
        <f t="shared" si="26"/>
        <v>114.48319807304691</v>
      </c>
    </row>
    <row r="273" spans="8:31" outlineLevel="1" x14ac:dyDescent="0.2">
      <c r="I273" s="138"/>
      <c r="J273" s="138"/>
      <c r="K273" s="138"/>
      <c r="L273" s="138"/>
      <c r="M273" s="138"/>
      <c r="N273" s="138"/>
      <c r="O273" s="138"/>
      <c r="P273" s="138"/>
      <c r="Q273" s="138"/>
      <c r="R273" s="138"/>
      <c r="S273" s="138"/>
      <c r="T273" s="138"/>
      <c r="U273" s="138"/>
      <c r="V273" s="138"/>
      <c r="W273" s="138"/>
      <c r="X273" s="138"/>
      <c r="Y273" s="138"/>
      <c r="Z273" s="138"/>
      <c r="AA273" s="138"/>
      <c r="AB273" s="138"/>
      <c r="AC273" s="138"/>
      <c r="AD273" s="138"/>
      <c r="AE273" s="138"/>
    </row>
    <row r="274" spans="8:31" outlineLevel="1" x14ac:dyDescent="0.2">
      <c r="I274" s="129"/>
      <c r="J274" s="97" t="s">
        <v>711</v>
      </c>
      <c r="K274" s="129"/>
      <c r="L274" s="123"/>
      <c r="M274" s="123"/>
      <c r="N274" s="123"/>
      <c r="O274" s="123"/>
      <c r="P274" s="243"/>
      <c r="Q274" s="123"/>
      <c r="R274" s="244"/>
      <c r="S274" s="244"/>
      <c r="T274" s="244"/>
      <c r="U274" s="244"/>
      <c r="V274" s="244"/>
      <c r="W274" s="244"/>
      <c r="X274" s="244"/>
      <c r="Y274" s="244"/>
      <c r="Z274" s="244"/>
      <c r="AA274" s="244"/>
      <c r="AB274" s="244"/>
      <c r="AC274" s="244"/>
      <c r="AD274" s="244"/>
      <c r="AE274" s="244"/>
    </row>
    <row r="275" spans="8:31" outlineLevel="1" x14ac:dyDescent="0.2">
      <c r="I275" s="129"/>
      <c r="J275" s="97"/>
      <c r="K275" s="129" t="s">
        <v>712</v>
      </c>
      <c r="L275" s="123"/>
      <c r="M275" s="123"/>
      <c r="N275" s="123"/>
      <c r="O275" s="123"/>
      <c r="P275" s="243"/>
      <c r="Q275" s="123"/>
      <c r="R275" s="188">
        <f>AVERAGE(R276:R277)</f>
        <v>0.19980438531370398</v>
      </c>
      <c r="S275" s="188">
        <f t="shared" ref="S275:AE275" si="27">AVERAGE(S276:S277)</f>
        <v>0.21887437748945709</v>
      </c>
      <c r="T275" s="188">
        <f t="shared" si="27"/>
        <v>0.23915437050669314</v>
      </c>
      <c r="U275" s="188">
        <f t="shared" si="27"/>
        <v>0.2602344646926128</v>
      </c>
      <c r="V275" s="188">
        <f t="shared" si="27"/>
        <v>0.28162109019022979</v>
      </c>
      <c r="W275" s="188">
        <f t="shared" si="27"/>
        <v>0.30273935289403875</v>
      </c>
      <c r="X275" s="188">
        <f t="shared" si="27"/>
        <v>0.32294022990311666</v>
      </c>
      <c r="Y275" s="188">
        <f t="shared" si="27"/>
        <v>0.34151281135364187</v>
      </c>
      <c r="Z275" s="188">
        <f t="shared" si="27"/>
        <v>0.35770171727039229</v>
      </c>
      <c r="AA275" s="188">
        <f t="shared" si="27"/>
        <v>0.37072973819837429</v>
      </c>
      <c r="AB275" s="188">
        <f t="shared" si="27"/>
        <v>0.37982565620284592</v>
      </c>
      <c r="AC275" s="188">
        <f t="shared" si="27"/>
        <v>0.38425709608282543</v>
      </c>
      <c r="AD275" s="188">
        <f t="shared" si="27"/>
        <v>0.38425709608282543</v>
      </c>
      <c r="AE275" s="188">
        <f t="shared" si="27"/>
        <v>0.38425709608282543</v>
      </c>
    </row>
    <row r="276" spans="8:31" outlineLevel="1" x14ac:dyDescent="0.2">
      <c r="I276" s="129"/>
      <c r="J276" s="97"/>
      <c r="K276" s="129" t="s">
        <v>713</v>
      </c>
      <c r="L276" s="123"/>
      <c r="M276" s="123"/>
      <c r="N276" s="123"/>
      <c r="O276" s="123"/>
      <c r="P276" s="243"/>
      <c r="Q276" s="123"/>
      <c r="R276" s="188">
        <f t="shared" ref="R276:AE276" si="28">R272*$L$270*$L$269*USD_to_CAD/1000000</f>
        <v>0.23314240705137687</v>
      </c>
      <c r="S276" s="188">
        <f t="shared" si="28"/>
        <v>0.255394290418829</v>
      </c>
      <c r="T276" s="188">
        <f t="shared" si="28"/>
        <v>0.27905806726536869</v>
      </c>
      <c r="U276" s="188">
        <f t="shared" si="28"/>
        <v>0.30365544480369822</v>
      </c>
      <c r="V276" s="188">
        <f t="shared" si="28"/>
        <v>0.32861049941569925</v>
      </c>
      <c r="W276" s="188">
        <f t="shared" si="28"/>
        <v>0.35325241401521656</v>
      </c>
      <c r="X276" s="188">
        <f t="shared" si="28"/>
        <v>0.37682387408627949</v>
      </c>
      <c r="Y276" s="188">
        <f t="shared" si="28"/>
        <v>0.39849535210581727</v>
      </c>
      <c r="Z276" s="188">
        <f t="shared" si="28"/>
        <v>0.41738543045436594</v>
      </c>
      <c r="AA276" s="188">
        <f t="shared" si="28"/>
        <v>0.4325872197118768</v>
      </c>
      <c r="AB276" s="188">
        <f t="shared" si="28"/>
        <v>0.44320082168349989</v>
      </c>
      <c r="AC276" s="188">
        <f t="shared" si="28"/>
        <v>0.44837166194658917</v>
      </c>
      <c r="AD276" s="188">
        <f t="shared" si="28"/>
        <v>0.44837166194658917</v>
      </c>
      <c r="AE276" s="188">
        <f t="shared" si="28"/>
        <v>0.44837166194658917</v>
      </c>
    </row>
    <row r="277" spans="8:31" outlineLevel="1" x14ac:dyDescent="0.2">
      <c r="I277" s="129"/>
      <c r="J277" s="97"/>
      <c r="K277" s="129" t="s">
        <v>714</v>
      </c>
      <c r="L277" s="123"/>
      <c r="M277" s="123"/>
      <c r="N277" s="123"/>
      <c r="O277" s="123"/>
      <c r="P277" s="243"/>
      <c r="Q277" s="123"/>
      <c r="R277" s="188">
        <f t="shared" ref="R277:AE277" si="29">R272*$L$271*$L$269*USD_to_CAD/1000000</f>
        <v>0.16646636357603112</v>
      </c>
      <c r="S277" s="188">
        <f t="shared" si="29"/>
        <v>0.18235446456008522</v>
      </c>
      <c r="T277" s="188">
        <f t="shared" si="29"/>
        <v>0.19925067374801758</v>
      </c>
      <c r="U277" s="188">
        <f t="shared" si="29"/>
        <v>0.21681348458152733</v>
      </c>
      <c r="V277" s="188">
        <f t="shared" si="29"/>
        <v>0.23463168096476031</v>
      </c>
      <c r="W277" s="188">
        <f t="shared" si="29"/>
        <v>0.25222629177286093</v>
      </c>
      <c r="X277" s="188">
        <f t="shared" si="29"/>
        <v>0.26905658571995389</v>
      </c>
      <c r="Y277" s="188">
        <f t="shared" si="29"/>
        <v>0.28453027060146652</v>
      </c>
      <c r="Z277" s="188">
        <f t="shared" si="29"/>
        <v>0.29801800408641865</v>
      </c>
      <c r="AA277" s="188">
        <f t="shared" si="29"/>
        <v>0.30887225668487173</v>
      </c>
      <c r="AB277" s="188">
        <f t="shared" si="29"/>
        <v>0.31645049072219189</v>
      </c>
      <c r="AC277" s="188">
        <f t="shared" si="29"/>
        <v>0.32014253021906175</v>
      </c>
      <c r="AD277" s="188">
        <f t="shared" si="29"/>
        <v>0.32014253021906175</v>
      </c>
      <c r="AE277" s="188">
        <f t="shared" si="29"/>
        <v>0.32014253021906175</v>
      </c>
    </row>
    <row r="278" spans="8:31" outlineLevel="1" x14ac:dyDescent="0.2">
      <c r="I278" s="129"/>
      <c r="J278" s="97"/>
      <c r="K278" s="129" t="s">
        <v>715</v>
      </c>
      <c r="L278" s="123"/>
      <c r="M278" s="123"/>
      <c r="N278" s="123"/>
      <c r="O278" s="123"/>
      <c r="P278" s="243"/>
      <c r="Q278" s="123"/>
      <c r="R278" s="188">
        <f>R275-$R$275</f>
        <v>0</v>
      </c>
      <c r="S278" s="188">
        <f t="shared" ref="S278:AE278" si="30">S275-$R$275</f>
        <v>1.9069992175753114E-2</v>
      </c>
      <c r="T278" s="188">
        <f t="shared" si="30"/>
        <v>3.9349985192989156E-2</v>
      </c>
      <c r="U278" s="188">
        <f t="shared" si="30"/>
        <v>6.0430079378908819E-2</v>
      </c>
      <c r="V278" s="188">
        <f t="shared" si="30"/>
        <v>8.1816704876525814E-2</v>
      </c>
      <c r="W278" s="188">
        <f t="shared" si="30"/>
        <v>0.10293496758033477</v>
      </c>
      <c r="X278" s="188">
        <f t="shared" si="30"/>
        <v>0.12313584458941268</v>
      </c>
      <c r="Y278" s="188">
        <f t="shared" si="30"/>
        <v>0.14170842603993788</v>
      </c>
      <c r="Z278" s="188">
        <f t="shared" si="30"/>
        <v>0.15789733195668831</v>
      </c>
      <c r="AA278" s="188">
        <f t="shared" si="30"/>
        <v>0.17092535288467031</v>
      </c>
      <c r="AB278" s="188">
        <f t="shared" si="30"/>
        <v>0.18002127088914194</v>
      </c>
      <c r="AC278" s="188">
        <f t="shared" si="30"/>
        <v>0.18445271076912145</v>
      </c>
      <c r="AD278" s="188">
        <f t="shared" si="30"/>
        <v>0.18445271076912145</v>
      </c>
      <c r="AE278" s="188">
        <f t="shared" si="30"/>
        <v>0.18445271076912145</v>
      </c>
    </row>
    <row r="279" spans="8:31" outlineLevel="1" x14ac:dyDescent="0.2">
      <c r="I279" s="129"/>
      <c r="J279" s="129"/>
      <c r="K279" s="129" t="s">
        <v>716</v>
      </c>
      <c r="L279" s="123"/>
      <c r="M279" s="123"/>
      <c r="N279" s="123"/>
      <c r="O279" s="123"/>
      <c r="P279" s="123"/>
      <c r="Q279" s="123"/>
      <c r="R279" s="188">
        <f>R276-$R$276</f>
        <v>0</v>
      </c>
      <c r="S279" s="188">
        <f t="shared" ref="S279:AE279" si="31">S276-$R$276</f>
        <v>2.2251883367452124E-2</v>
      </c>
      <c r="T279" s="188">
        <f t="shared" si="31"/>
        <v>4.5915660213991821E-2</v>
      </c>
      <c r="U279" s="188">
        <f t="shared" si="31"/>
        <v>7.0513037752321345E-2</v>
      </c>
      <c r="V279" s="188">
        <f t="shared" si="31"/>
        <v>9.5468092364322382E-2</v>
      </c>
      <c r="W279" s="188">
        <f t="shared" si="31"/>
        <v>0.12011000696383969</v>
      </c>
      <c r="X279" s="188">
        <f t="shared" si="31"/>
        <v>0.14368146703490262</v>
      </c>
      <c r="Y279" s="188">
        <f t="shared" si="31"/>
        <v>0.1653529450544404</v>
      </c>
      <c r="Z279" s="188">
        <f t="shared" si="31"/>
        <v>0.18424302340298906</v>
      </c>
      <c r="AA279" s="188">
        <f t="shared" si="31"/>
        <v>0.19944481266049993</v>
      </c>
      <c r="AB279" s="188">
        <f t="shared" si="31"/>
        <v>0.21005841463212302</v>
      </c>
      <c r="AC279" s="188">
        <f t="shared" si="31"/>
        <v>0.2152292548952123</v>
      </c>
      <c r="AD279" s="188">
        <f t="shared" si="31"/>
        <v>0.2152292548952123</v>
      </c>
      <c r="AE279" s="188">
        <f t="shared" si="31"/>
        <v>0.2152292548952123</v>
      </c>
    </row>
    <row r="280" spans="8:31" outlineLevel="1" x14ac:dyDescent="0.2">
      <c r="I280" s="129"/>
      <c r="J280" s="129"/>
      <c r="K280" s="129" t="s">
        <v>717</v>
      </c>
      <c r="L280" s="123"/>
      <c r="M280" s="123"/>
      <c r="N280" s="123"/>
      <c r="O280" s="123"/>
      <c r="P280" s="123"/>
      <c r="Q280" s="123"/>
      <c r="R280" s="188">
        <f>R277-$R$277</f>
        <v>0</v>
      </c>
      <c r="S280" s="188">
        <f t="shared" ref="S280:AE280" si="32">S277-$R$277</f>
        <v>1.5888100984054104E-2</v>
      </c>
      <c r="T280" s="188">
        <f t="shared" si="32"/>
        <v>3.2784310171986464E-2</v>
      </c>
      <c r="U280" s="188">
        <f t="shared" si="32"/>
        <v>5.0347121005496209E-2</v>
      </c>
      <c r="V280" s="188">
        <f t="shared" si="32"/>
        <v>6.8165317388729191E-2</v>
      </c>
      <c r="W280" s="188">
        <f t="shared" si="32"/>
        <v>8.5759928196829815E-2</v>
      </c>
      <c r="X280" s="188">
        <f t="shared" si="32"/>
        <v>0.10259022214392277</v>
      </c>
      <c r="Y280" s="188">
        <f t="shared" si="32"/>
        <v>0.1180639070254354</v>
      </c>
      <c r="Z280" s="188">
        <f t="shared" si="32"/>
        <v>0.13155164051038754</v>
      </c>
      <c r="AA280" s="188">
        <f t="shared" si="32"/>
        <v>0.14240589310884061</v>
      </c>
      <c r="AB280" s="188">
        <f t="shared" si="32"/>
        <v>0.14998412714616077</v>
      </c>
      <c r="AC280" s="188">
        <f t="shared" si="32"/>
        <v>0.15367616664303063</v>
      </c>
      <c r="AD280" s="188">
        <f t="shared" si="32"/>
        <v>0.15367616664303063</v>
      </c>
      <c r="AE280" s="188">
        <f t="shared" si="32"/>
        <v>0.15367616664303063</v>
      </c>
    </row>
    <row r="283" spans="8:31" x14ac:dyDescent="0.2">
      <c r="H283" s="72" t="s">
        <v>656</v>
      </c>
    </row>
    <row r="284" spans="8:31" x14ac:dyDescent="0.2">
      <c r="I284" s="302" t="s">
        <v>718</v>
      </c>
      <c r="J284" s="303"/>
      <c r="K284" s="93"/>
      <c r="L284" s="123"/>
      <c r="M284" s="123"/>
      <c r="N284" s="123"/>
      <c r="O284" s="123"/>
      <c r="P284" s="123"/>
      <c r="Q284" s="123"/>
      <c r="R284" s="123"/>
      <c r="S284" s="123"/>
      <c r="T284" s="123"/>
      <c r="U284" s="123"/>
      <c r="V284" s="123"/>
      <c r="W284" s="123"/>
      <c r="X284" s="123"/>
      <c r="Y284" s="123"/>
      <c r="Z284" s="123"/>
      <c r="AA284" s="123"/>
      <c r="AB284" s="123"/>
      <c r="AC284" s="123"/>
      <c r="AD284" s="123"/>
      <c r="AE284" s="123"/>
    </row>
    <row r="285" spans="8:31" x14ac:dyDescent="0.2">
      <c r="I285" s="302"/>
      <c r="J285" s="304" t="s">
        <v>719</v>
      </c>
      <c r="K285" s="93"/>
      <c r="L285" s="123"/>
      <c r="M285" s="123"/>
      <c r="N285" s="123"/>
      <c r="O285" s="123"/>
      <c r="P285" s="123"/>
      <c r="Q285" s="123"/>
      <c r="R285" s="123"/>
      <c r="S285" s="123"/>
      <c r="T285" s="123"/>
      <c r="U285" s="123"/>
      <c r="V285" s="123"/>
      <c r="W285" s="123"/>
      <c r="X285" s="123"/>
      <c r="Y285" s="123"/>
      <c r="Z285" s="123"/>
      <c r="AA285" s="123"/>
      <c r="AB285" s="123"/>
      <c r="AC285" s="123"/>
      <c r="AD285" s="123"/>
      <c r="AE285" s="123"/>
    </row>
    <row r="286" spans="8:31" x14ac:dyDescent="0.2">
      <c r="I286" s="303"/>
      <c r="J286" s="303"/>
      <c r="K286" s="93" t="s">
        <v>537</v>
      </c>
      <c r="L286" s="123"/>
      <c r="M286" s="123"/>
      <c r="N286" s="123"/>
      <c r="O286" s="123"/>
      <c r="P286" s="123"/>
      <c r="Q286" s="123"/>
      <c r="R286" s="123">
        <v>30</v>
      </c>
      <c r="S286" s="187">
        <f t="shared" ref="S286:AD286" si="33">($AE$286-$R$286)/COUNT($O$4:$AE$4)+R286</f>
        <v>30.588235294117649</v>
      </c>
      <c r="T286" s="187">
        <f t="shared" si="33"/>
        <v>31.176470588235297</v>
      </c>
      <c r="U286" s="187">
        <f t="shared" si="33"/>
        <v>31.764705882352946</v>
      </c>
      <c r="V286" s="187">
        <f t="shared" si="33"/>
        <v>32.352941176470594</v>
      </c>
      <c r="W286" s="187">
        <f t="shared" si="33"/>
        <v>32.941176470588239</v>
      </c>
      <c r="X286" s="187">
        <f t="shared" si="33"/>
        <v>33.529411764705884</v>
      </c>
      <c r="Y286" s="187">
        <f t="shared" si="33"/>
        <v>34.117647058823529</v>
      </c>
      <c r="Z286" s="187">
        <f t="shared" si="33"/>
        <v>34.705882352941174</v>
      </c>
      <c r="AA286" s="187">
        <f t="shared" si="33"/>
        <v>35.294117647058819</v>
      </c>
      <c r="AB286" s="187">
        <f t="shared" si="33"/>
        <v>35.882352941176464</v>
      </c>
      <c r="AC286" s="187">
        <f t="shared" si="33"/>
        <v>36.470588235294109</v>
      </c>
      <c r="AD286" s="187">
        <f t="shared" si="33"/>
        <v>37.058823529411754</v>
      </c>
      <c r="AE286" s="123">
        <v>40</v>
      </c>
    </row>
    <row r="287" spans="8:31" x14ac:dyDescent="0.2">
      <c r="I287" s="96"/>
      <c r="J287" s="129"/>
      <c r="K287" s="93" t="s">
        <v>538</v>
      </c>
      <c r="L287" s="186"/>
      <c r="M287" s="123"/>
      <c r="N287" s="123"/>
      <c r="O287" s="124"/>
      <c r="P287" s="124"/>
      <c r="Q287" s="123"/>
      <c r="R287" s="145">
        <f>+ROUND(R286,0)</f>
        <v>30</v>
      </c>
      <c r="S287" s="145">
        <f t="shared" ref="S287:AE287" si="34">+ROUND(S286,0)</f>
        <v>31</v>
      </c>
      <c r="T287" s="145">
        <f t="shared" si="34"/>
        <v>31</v>
      </c>
      <c r="U287" s="145">
        <f t="shared" si="34"/>
        <v>32</v>
      </c>
      <c r="V287" s="145">
        <f t="shared" si="34"/>
        <v>32</v>
      </c>
      <c r="W287" s="145">
        <f t="shared" si="34"/>
        <v>33</v>
      </c>
      <c r="X287" s="145">
        <f t="shared" si="34"/>
        <v>34</v>
      </c>
      <c r="Y287" s="145">
        <f t="shared" si="34"/>
        <v>34</v>
      </c>
      <c r="Z287" s="145">
        <f t="shared" si="34"/>
        <v>35</v>
      </c>
      <c r="AA287" s="145">
        <f t="shared" si="34"/>
        <v>35</v>
      </c>
      <c r="AB287" s="145">
        <f t="shared" si="34"/>
        <v>36</v>
      </c>
      <c r="AC287" s="145">
        <f t="shared" si="34"/>
        <v>36</v>
      </c>
      <c r="AD287" s="145">
        <f t="shared" si="34"/>
        <v>37</v>
      </c>
      <c r="AE287" s="145">
        <f t="shared" si="34"/>
        <v>40</v>
      </c>
    </row>
    <row r="288" spans="8:31" x14ac:dyDescent="0.2">
      <c r="I288" s="96"/>
      <c r="J288" s="129"/>
      <c r="K288" s="129"/>
      <c r="L288" s="186"/>
      <c r="M288" s="123"/>
      <c r="N288" s="123"/>
      <c r="O288" s="124"/>
      <c r="P288" s="124"/>
      <c r="Q288" s="123"/>
      <c r="R288" s="124"/>
      <c r="S288" s="309"/>
      <c r="T288" s="123"/>
      <c r="U288" s="123"/>
      <c r="V288" s="123"/>
      <c r="W288" s="123"/>
      <c r="X288" s="123"/>
      <c r="Y288" s="123"/>
      <c r="Z288" s="123"/>
      <c r="AA288" s="123"/>
      <c r="AB288" s="123"/>
      <c r="AC288" s="123"/>
      <c r="AD288" s="123"/>
      <c r="AE288" s="123"/>
    </row>
    <row r="289" spans="6:31" x14ac:dyDescent="0.2">
      <c r="I289" s="96"/>
      <c r="J289" s="129"/>
      <c r="K289" s="105" t="s">
        <v>720</v>
      </c>
      <c r="L289" s="108">
        <v>1</v>
      </c>
      <c r="M289" s="123"/>
      <c r="N289" s="123"/>
      <c r="O289" s="124"/>
      <c r="P289" s="124"/>
      <c r="Q289" s="123"/>
      <c r="R289" s="124"/>
      <c r="S289" s="309"/>
      <c r="T289" s="123"/>
      <c r="U289" s="123"/>
      <c r="V289" s="123"/>
      <c r="W289" s="123"/>
      <c r="X289" s="123"/>
      <c r="Y289" s="123"/>
      <c r="Z289" s="123"/>
      <c r="AA289" s="123"/>
      <c r="AB289" s="123"/>
      <c r="AC289" s="123"/>
      <c r="AD289" s="123"/>
      <c r="AE289" s="123"/>
    </row>
    <row r="290" spans="6:31" x14ac:dyDescent="0.2">
      <c r="I290" s="96"/>
      <c r="J290" s="129"/>
      <c r="K290" s="105" t="s">
        <v>721</v>
      </c>
      <c r="L290" s="310">
        <v>1.1119540125332448</v>
      </c>
      <c r="M290" s="301"/>
      <c r="N290" s="123"/>
      <c r="O290" s="124"/>
      <c r="P290" s="124"/>
      <c r="Q290" s="123"/>
      <c r="R290" s="124"/>
      <c r="S290" s="309"/>
      <c r="T290" s="123"/>
      <c r="U290" s="123"/>
      <c r="V290" s="123"/>
      <c r="W290" s="123"/>
      <c r="X290" s="123"/>
      <c r="Y290" s="123"/>
      <c r="Z290" s="123"/>
      <c r="AA290" s="123"/>
      <c r="AB290" s="123"/>
      <c r="AC290" s="123"/>
      <c r="AD290" s="123"/>
      <c r="AE290" s="123"/>
    </row>
    <row r="291" spans="6:31" x14ac:dyDescent="0.2">
      <c r="I291" s="96"/>
      <c r="J291" s="129"/>
      <c r="K291" s="97" t="s">
        <v>722</v>
      </c>
      <c r="L291" s="310">
        <v>1</v>
      </c>
      <c r="M291" s="123"/>
      <c r="N291" s="123"/>
      <c r="O291" s="123"/>
      <c r="P291" s="123"/>
      <c r="Q291" s="123"/>
      <c r="R291" s="123"/>
      <c r="S291" s="123"/>
      <c r="T291" s="123"/>
      <c r="U291" s="123"/>
      <c r="V291" s="123"/>
      <c r="W291" s="123"/>
      <c r="X291" s="123"/>
      <c r="Y291" s="123"/>
      <c r="Z291" s="123"/>
      <c r="AA291" s="123"/>
      <c r="AB291" s="123"/>
      <c r="AC291" s="123"/>
      <c r="AD291" s="123"/>
      <c r="AE291" s="123"/>
    </row>
    <row r="294" spans="6:31" x14ac:dyDescent="0.2">
      <c r="F294"/>
      <c r="G294"/>
      <c r="H294"/>
      <c r="I294"/>
      <c r="J294"/>
      <c r="K294" s="268"/>
      <c r="L294"/>
      <c r="M294"/>
      <c r="N294"/>
      <c r="O294"/>
      <c r="P294"/>
      <c r="Q294"/>
    </row>
    <row r="295" spans="6:31" x14ac:dyDescent="0.2">
      <c r="F295"/>
      <c r="G295"/>
      <c r="H295"/>
      <c r="I295"/>
      <c r="J295"/>
      <c r="K295" s="268"/>
      <c r="L295"/>
      <c r="M295"/>
      <c r="N295"/>
      <c r="O295"/>
      <c r="P295"/>
      <c r="Q295"/>
    </row>
    <row r="296" spans="6:31" x14ac:dyDescent="0.2">
      <c r="F296"/>
      <c r="G296"/>
      <c r="H296"/>
      <c r="I296"/>
      <c r="J296"/>
      <c r="K296" s="268"/>
      <c r="L296"/>
      <c r="M296"/>
      <c r="N296"/>
      <c r="O296"/>
      <c r="P296"/>
      <c r="Q296"/>
    </row>
    <row r="297" spans="6:31" x14ac:dyDescent="0.2">
      <c r="F297"/>
      <c r="G297"/>
      <c r="H297"/>
      <c r="I297"/>
      <c r="J297"/>
      <c r="K297" s="269"/>
      <c r="L297"/>
      <c r="M297"/>
      <c r="N297"/>
      <c r="O297"/>
      <c r="P297"/>
      <c r="Q297"/>
    </row>
    <row r="298" spans="6:31" x14ac:dyDescent="0.2">
      <c r="F298"/>
      <c r="G298"/>
      <c r="H298"/>
      <c r="I298"/>
      <c r="J298"/>
      <c r="K298"/>
      <c r="L298"/>
      <c r="M298"/>
      <c r="N298"/>
      <c r="O298"/>
      <c r="P298"/>
      <c r="Q298"/>
    </row>
    <row r="299" spans="6:31" x14ac:dyDescent="0.2">
      <c r="F299"/>
      <c r="G299"/>
      <c r="H299"/>
      <c r="I299"/>
      <c r="J299"/>
      <c r="K299"/>
      <c r="L299"/>
      <c r="M299"/>
      <c r="N299"/>
      <c r="O299"/>
      <c r="P299"/>
      <c r="Q299"/>
    </row>
    <row r="300" spans="6:31" x14ac:dyDescent="0.2">
      <c r="F300"/>
      <c r="G300"/>
      <c r="H300"/>
      <c r="I300"/>
      <c r="J300"/>
      <c r="K300"/>
      <c r="L300"/>
      <c r="M300"/>
      <c r="N300"/>
      <c r="O300"/>
      <c r="P300"/>
      <c r="Q300"/>
    </row>
    <row r="301" spans="6:31" x14ac:dyDescent="0.2">
      <c r="F301"/>
      <c r="G301"/>
      <c r="H301"/>
      <c r="I301"/>
      <c r="J301"/>
      <c r="K301"/>
      <c r="L301"/>
      <c r="M301"/>
      <c r="N301"/>
      <c r="O301"/>
      <c r="P301"/>
      <c r="Q301"/>
    </row>
    <row r="302" spans="6:31" x14ac:dyDescent="0.2">
      <c r="F302"/>
      <c r="G302"/>
      <c r="H302"/>
      <c r="I302"/>
      <c r="J302"/>
      <c r="K302"/>
      <c r="L302"/>
      <c r="M302"/>
      <c r="N302"/>
      <c r="O302"/>
      <c r="P302"/>
      <c r="Q302"/>
    </row>
    <row r="303" spans="6:31" x14ac:dyDescent="0.2">
      <c r="F303"/>
      <c r="G303"/>
      <c r="H303"/>
      <c r="I303"/>
      <c r="J303"/>
      <c r="K303"/>
      <c r="L303"/>
      <c r="M303"/>
      <c r="N303"/>
      <c r="O303"/>
      <c r="P303"/>
      <c r="Q303"/>
    </row>
  </sheetData>
  <mergeCells count="2">
    <mergeCell ref="B3:E3"/>
    <mergeCell ref="M87:P87"/>
  </mergeCells>
  <conditionalFormatting sqref="L97">
    <cfRule type="cellIs" dxfId="2" priority="3" operator="equal">
      <formula>1</formula>
    </cfRule>
  </conditionalFormatting>
  <conditionalFormatting sqref="L126">
    <cfRule type="cellIs" dxfId="1" priority="2" operator="equal">
      <formula>1</formula>
    </cfRule>
  </conditionalFormatting>
  <conditionalFormatting sqref="L141">
    <cfRule type="cellIs" dxfId="0" priority="1" operator="equal">
      <formula>1</formula>
    </cfRule>
  </conditionalFormatting>
  <hyperlinks>
    <hyperlink ref="J178" r:id="rId1" display="https://www.nrel.gov/docs/fy22osti/81209.pdf" xr:uid="{425B1F1A-C8EF-405D-B25A-ECDCFF9BF562}"/>
    <hyperlink ref="J179" r:id="rId2" display="https://www.nrel.gov/docs/fy21osti/78471.pdf" xr:uid="{4304FC5C-74C9-4BD6-9ED3-C1E4F3056C4A}"/>
    <hyperlink ref="J180" r:id="rId3" display="https://www.nrel.gov/docs/fy20osti/74598.pdf" xr:uid="{6F64E29F-C6E0-43E6-AFF1-2F6693E58EDD}"/>
    <hyperlink ref="J181" r:id="rId4" display="https://www.nrel.gov/docs/fy18osti/72167.pdf" xr:uid="{85AA1799-D341-4C29-BA02-11B7CB75FDF8}"/>
    <hyperlink ref="J185" r:id="rId5" display="https://www.nrel.gov/docs/fy22osti/81209.pdf" xr:uid="{70AD7EFF-C394-4E1E-BF15-D3D2580DB613}"/>
    <hyperlink ref="J186" r:id="rId6" display="https://www.nrel.gov/docs/fy21osti/78471.pdf" xr:uid="{7C6BF481-889F-4A40-9F85-281A6C616B95}"/>
    <hyperlink ref="J187" r:id="rId7" display="https://www.nrel.gov/docs/fy20osti/74598.pdf" xr:uid="{6CF6FE89-AA94-4530-8232-1D2892799DA7}"/>
    <hyperlink ref="J188" r:id="rId8" display="https://www.nrel.gov/docs/fy18osti/72167.pdf" xr:uid="{11AE7C67-A51F-4C60-BA91-085E0790C0B8}"/>
    <hyperlink ref="J192" r:id="rId9" display="https://www.nrel.gov/docs/fy22osti/81209.pdf" xr:uid="{BAEC5BBB-6AED-4D1A-8990-E077FF54DE50}"/>
    <hyperlink ref="J193" r:id="rId10" display="https://www.nrel.gov/docs/fy21osti/78471.pdf" xr:uid="{D6286917-A0DC-42A1-A785-14220DD780C2}"/>
    <hyperlink ref="J194" r:id="rId11" display="https://www.nrel.gov/docs/fy20osti/74598.pdf" xr:uid="{91592DE4-7EC3-41E1-B04E-E1A093D37819}"/>
    <hyperlink ref="J195" r:id="rId12" display="https://www.nrel.gov/docs/fy18osti/72167.pdf" xr:uid="{BBDF79EC-5101-493E-A5BB-B7243DC6C80A}"/>
    <hyperlink ref="J196" r:id="rId13" display="https://www.nature.com/articles/s41560-021-00810-z" xr:uid="{0FFDC8B2-9020-4FE6-90AF-4CCFFE171A2C}"/>
    <hyperlink ref="J189" r:id="rId14" display="https://www.nature.com/articles/s41560-021-00810-z" xr:uid="{E965226D-933D-44D8-8EE9-1C50016BF99F}"/>
    <hyperlink ref="J182" r:id="rId15" display="https://www.nature.com/articles/s41560-021-00810-z" xr:uid="{E676682A-49FC-4D18-936A-89D634E37975}"/>
    <hyperlink ref="J8" r:id="rId16" display="https://escholarship.org/content/qt0vr6b23m/qt0vr6b23m.pdf" xr:uid="{56B3FC20-1E34-4BC9-AA50-AB1513B12044}"/>
    <hyperlink ref="J16" r:id="rId17" display="https://www.nrel.gov/docs/fy22osti/81209.pdf" xr:uid="{4127E9A0-3061-4587-A5FF-65F63B668BDB}"/>
    <hyperlink ref="J45" r:id="rId18" display="https://www.wind-energy-the-facts.org/rotor-and-nacelle-mass.html" xr:uid="{733535D4-9492-4370-A406-A4BA07FF11A9}"/>
    <hyperlink ref="J32" r:id="rId19" display="https://www.nrel.gov/docs/fy22osti/81209.pdf" xr:uid="{E60104AE-E3A8-4D4D-80CF-B8867FF2A547}"/>
    <hyperlink ref="J56" r:id="rId20" display="https://www.nrel.gov/docs/fy22osti/81209.pdf" xr:uid="{EFA3D1E5-4BF2-4B31-AB8E-602F36ED5C2B}"/>
    <hyperlink ref="J206" r:id="rId21" display="https://eta-publications.lbl.gov/sites/default/files/opex_paper_final.pdf" xr:uid="{68E62B1E-7EC8-4DE9-A42B-40293F20212A}"/>
    <hyperlink ref="J214" r:id="rId22" display="https://atb.nrel.gov/electricity/2022/land-based_wind" xr:uid="{309965CC-AEFF-4FD0-B9AA-BD43E15472FE}"/>
    <hyperlink ref="J240" r:id="rId23" display="https://view.officeapps.live.com/op/view.aspx?src=https%3A%2F%2Fftp.cartes.canada.ca%2Fpub%2Fnrcan_rncan%2FWind-energy_Energie-eolienne%2Fwind_turbines_database%2FWind_Turbine_Database_FGP.xlsx&amp;wdOrigin=BROWSELINK" xr:uid="{5D7C6E0A-1FCD-4240-B338-74740B409889}"/>
    <hyperlink ref="M246" r:id="rId24" display="https://www.vestas.ca/en-ca/manufacturing" xr:uid="{8B737A92-379F-49DD-97EF-5DF35FDA70F9}"/>
    <hyperlink ref="J255" r:id="rId25" display="https://escholarship.org/content/qt0vr6b23m/qt0vr6b23m.pdf" xr:uid="{BDA4A351-DD31-4002-9209-553625920A76}"/>
    <hyperlink ref="M270" r:id="rId26" display="https://www.google.ca/maps/dir/Windsor,+Colorado,+USA/Calgary,+AB/@45.4110041,-118.411665,5z/data=!3m1!4b1!4m14!4m13!1m5!1m1!1s0x87694a4edda7beb1:0x5b26a9575eb774c!2m2!1d-104.9013617!2d40.4774818!1m5!1m1!1s0x537170039f843fd5:0x266d3bb1b652b63a!2m2!1d-114.0718831!2d51.0447331!3e0" xr:uid="{8CCA2683-25D1-4CB6-9FE2-492FB1369D14}"/>
    <hyperlink ref="M253" r:id="rId27" display="https://www.siemensgamesa.com/en-int/about-us/location-finder" xr:uid="{62A8A51B-2C04-4E44-BCBB-46B21AD6C864}"/>
    <hyperlink ref="M271" r:id="rId28" display="https://www.google.ca/maps/dir/Fort+Madison,+IA,+USA/Toronto,+Ontario/@42.0054572,-89.8358045,6z/data=!3m1!4b1!4m14!4m13!1m5!1m1!1s0x87e72818d214a129:0x1e8a8f55b6d3f664!2m2!1d-91.314535!2d40.6297634!1m5!1m1!1s0x89d4cb90d7c63ba5:0x323555502ab4c477!2m2!1d-79.3831843!2d43.653226!3e0" xr:uid="{E58821EE-5D32-43A1-9315-CC335531F976}"/>
    <hyperlink ref="J67" r:id="rId29" display="https://www.nrel.gov/docs/fy22osti/81209.pdf" xr:uid="{60CC4A43-F0DF-45E6-969E-432BB4B589D3}"/>
    <hyperlink ref="J95" r:id="rId30" display="https://www.nrel.gov/docs/fy15osti/63267.pdf" xr:uid="{50C2A898-AF74-4F94-AB7B-2E84F5529DB4}"/>
    <hyperlink ref="J79" r:id="rId31" location="relevproj" display="https://www.bls.gov/green/wind_energy/ - relevproj" xr:uid="{70EE4A0D-1EC1-47D4-9D12-8ECD3B9CE3EF}"/>
    <hyperlink ref="J78" r:id="rId32" display="https://on.jobbank.gc.ca/wagereport/occupation/8447" xr:uid="{8215C230-0F11-4A13-886E-DC765D281ABB}"/>
    <hyperlink ref="J80" r:id="rId33" display="https://on.jobbank.gc.ca/wagereport/occupation/15089" xr:uid="{5CE567A7-2D1A-47A6-A75F-A5EF9C8AFD8A}"/>
    <hyperlink ref="J81" r:id="rId34" display="https://on.jobbank.gc.ca/wagereport/occupation/7906" xr:uid="{4EA69D47-BD92-4642-9C3B-70ACBEF3A614}"/>
    <hyperlink ref="J222" r:id="rId35" display="https://vidque.com/how-much-money-does-a-land-owner-get-from-a-wind-turbine/" xr:uid="{1FA2C66D-B8CA-4568-8FFF-067E820BE192}"/>
    <hyperlink ref="L229" r:id="rId36" display="https://www.middlesexcentre.on.ca/property-tax-calculator" xr:uid="{2B3D8950-C62A-461D-A94B-4EFA9A8E942E}"/>
    <hyperlink ref="J285" r:id="rId37" display="https://eta-publications.lbl.gov/sites/default/files/wind_useful_life_report.pdf" xr:uid="{35BF244C-7FC8-4455-8478-16843A30649F}"/>
    <hyperlink ref="S228" r:id="rId38" display="https://www.aeso.ca/assets/Uploads/industry-roundtables/20210528-Power-Advisory-AESO-Renewable-Investment-Outlook-Summary.pdf" xr:uid="{EDBCB1E8-7FEB-4CBF-8DEC-7C1826EC05BF}"/>
  </hyperlinks>
  <pageMargins left="0.7" right="0.7" top="0.75" bottom="0.75" header="0.3" footer="0.3"/>
  <pageSetup orientation="portrait" r:id="rId39"/>
  <drawing r:id="rId4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481389-B5B0-4E74-9599-F3181E5CA6AA}">
  <dimension ref="B1:AB113"/>
  <sheetViews>
    <sheetView topLeftCell="F41" workbookViewId="0">
      <selection activeCell="L62" sqref="L62"/>
    </sheetView>
  </sheetViews>
  <sheetFormatPr baseColWidth="10" defaultColWidth="8.83203125" defaultRowHeight="16" x14ac:dyDescent="0.2"/>
  <cols>
    <col min="1" max="1" width="2.6640625" customWidth="1"/>
    <col min="2" max="2" width="2.6640625" style="3" customWidth="1"/>
    <col min="3" max="3" width="2.6640625" style="4" customWidth="1"/>
    <col min="4" max="4" width="2.6640625" style="2" customWidth="1"/>
    <col min="5" max="5" width="20.6640625" customWidth="1"/>
    <col min="6" max="9" width="2.6640625" customWidth="1"/>
    <col min="10" max="10" width="2.6640625" style="32" customWidth="1"/>
    <col min="11" max="11" width="47.5" style="32" customWidth="1"/>
    <col min="12" max="12" width="10.5" style="32" bestFit="1" customWidth="1"/>
    <col min="13" max="13" width="9.1640625" style="32"/>
    <col min="14" max="14" width="11" style="32" bestFit="1" customWidth="1"/>
    <col min="15" max="27" width="9.1640625" style="32"/>
    <col min="28" max="28" width="2.6640625" style="32" customWidth="1"/>
    <col min="29" max="30" width="2.6640625" customWidth="1"/>
  </cols>
  <sheetData>
    <row r="1" spans="2:27" ht="21" x14ac:dyDescent="0.25">
      <c r="B1" s="5" t="s">
        <v>723</v>
      </c>
    </row>
    <row r="2" spans="2:27" ht="19" x14ac:dyDescent="0.25">
      <c r="B2" s="1" t="str">
        <f>_Cover!B14</f>
        <v>Renewable Cost Forecast</v>
      </c>
    </row>
    <row r="3" spans="2:27" ht="15" x14ac:dyDescent="0.2">
      <c r="B3" s="331" t="str">
        <f ca="1">HYPERLINK("#"&amp;CELL("address", _Contents!B3 ), "Go to Table of Contents")</f>
        <v>Go to Table of Contents</v>
      </c>
      <c r="C3" s="331"/>
      <c r="D3" s="331"/>
      <c r="E3" s="331"/>
    </row>
    <row r="4" spans="2:27" x14ac:dyDescent="0.2">
      <c r="L4" s="48">
        <v>2020</v>
      </c>
      <c r="M4" s="48">
        <v>2021</v>
      </c>
      <c r="N4" s="48">
        <v>2022</v>
      </c>
      <c r="O4" s="48">
        <v>2023</v>
      </c>
      <c r="P4" s="48">
        <v>2024</v>
      </c>
      <c r="Q4" s="48">
        <v>2025</v>
      </c>
      <c r="R4" s="48">
        <v>2026</v>
      </c>
      <c r="S4" s="48">
        <v>2027</v>
      </c>
      <c r="T4" s="48">
        <v>2028</v>
      </c>
      <c r="U4" s="48">
        <v>2029</v>
      </c>
      <c r="V4" s="48">
        <v>2030</v>
      </c>
      <c r="W4" s="48">
        <v>2031</v>
      </c>
      <c r="X4" s="48">
        <v>2032</v>
      </c>
      <c r="Y4" s="48">
        <v>2033</v>
      </c>
      <c r="Z4" s="48">
        <v>2034</v>
      </c>
      <c r="AA4" s="48">
        <v>2035</v>
      </c>
    </row>
    <row r="7" spans="2:27" x14ac:dyDescent="0.2">
      <c r="H7" s="71" t="s">
        <v>724</v>
      </c>
      <c r="I7" s="32"/>
    </row>
    <row r="8" spans="2:27" x14ac:dyDescent="0.2">
      <c r="H8" s="52"/>
      <c r="I8" s="80" t="s">
        <v>310</v>
      </c>
      <c r="J8" s="81"/>
      <c r="K8" s="81"/>
      <c r="L8" s="81"/>
      <c r="M8" s="81"/>
      <c r="N8" s="81"/>
      <c r="O8" s="81"/>
      <c r="P8" s="81"/>
      <c r="Q8" s="81"/>
      <c r="R8" s="81"/>
      <c r="S8" s="81"/>
      <c r="T8" s="81"/>
      <c r="U8" s="81"/>
      <c r="V8" s="81"/>
      <c r="W8" s="81"/>
      <c r="X8" s="81"/>
      <c r="Y8" s="81"/>
      <c r="Z8" s="81"/>
      <c r="AA8" s="81"/>
    </row>
    <row r="9" spans="2:27" x14ac:dyDescent="0.2">
      <c r="I9" s="109"/>
      <c r="J9" s="84" t="s">
        <v>725</v>
      </c>
      <c r="K9" s="81"/>
      <c r="L9" s="81"/>
      <c r="M9" s="81"/>
      <c r="N9" s="81"/>
      <c r="O9" s="81"/>
      <c r="P9" s="81"/>
      <c r="Q9" s="81"/>
      <c r="R9" s="81"/>
      <c r="S9" s="81"/>
      <c r="T9" s="81"/>
      <c r="U9" s="81"/>
      <c r="V9" s="81"/>
      <c r="W9" s="81"/>
      <c r="X9" s="81"/>
      <c r="Y9" s="81"/>
      <c r="Z9" s="81"/>
      <c r="AA9" s="81"/>
    </row>
    <row r="10" spans="2:27" x14ac:dyDescent="0.2">
      <c r="I10" s="109"/>
      <c r="J10" s="81"/>
      <c r="K10" s="83" t="s">
        <v>726</v>
      </c>
      <c r="L10" s="83"/>
      <c r="M10" s="81"/>
      <c r="N10" s="81"/>
      <c r="O10" s="81"/>
      <c r="P10" s="81"/>
      <c r="Q10" s="81"/>
      <c r="R10" s="81"/>
      <c r="S10" s="81"/>
      <c r="T10" s="81"/>
      <c r="U10" s="81"/>
      <c r="V10" s="81"/>
      <c r="W10" s="81"/>
      <c r="X10" s="81"/>
      <c r="Y10" s="81"/>
      <c r="Z10" s="81"/>
      <c r="AA10" s="81"/>
    </row>
    <row r="11" spans="2:27" x14ac:dyDescent="0.2">
      <c r="I11" s="109"/>
      <c r="J11" s="81"/>
      <c r="K11" s="230" t="s">
        <v>727</v>
      </c>
      <c r="L11" s="233">
        <f>AVERAGE(1382,1250,1450)</f>
        <v>1360.6666666666667</v>
      </c>
      <c r="M11" s="83"/>
      <c r="N11" s="83"/>
      <c r="O11" s="83"/>
      <c r="P11" s="83"/>
      <c r="Q11" s="83"/>
      <c r="R11" s="83"/>
      <c r="S11" s="83"/>
      <c r="T11" s="83"/>
      <c r="U11" s="83"/>
      <c r="V11" s="83"/>
      <c r="W11" s="83"/>
      <c r="X11" s="83"/>
      <c r="Y11" s="83"/>
      <c r="Z11" s="83"/>
      <c r="AA11" s="83"/>
    </row>
    <row r="12" spans="2:27" x14ac:dyDescent="0.2">
      <c r="I12" s="109"/>
      <c r="J12" s="81"/>
      <c r="K12" s="230" t="s">
        <v>728</v>
      </c>
      <c r="L12" s="233">
        <v>1222</v>
      </c>
      <c r="M12" s="83"/>
      <c r="N12" s="83"/>
      <c r="O12" s="83"/>
      <c r="P12" s="83"/>
      <c r="Q12" s="83"/>
      <c r="R12" s="83"/>
      <c r="S12" s="83"/>
      <c r="T12" s="83"/>
      <c r="U12" s="83"/>
      <c r="V12" s="83"/>
      <c r="W12" s="83"/>
      <c r="X12" s="83"/>
      <c r="Y12" s="83"/>
      <c r="Z12" s="83"/>
      <c r="AA12" s="83"/>
    </row>
    <row r="13" spans="2:27" x14ac:dyDescent="0.2">
      <c r="I13" s="109"/>
      <c r="J13" s="81"/>
      <c r="K13" s="230" t="s">
        <v>729</v>
      </c>
      <c r="L13" s="233">
        <v>893</v>
      </c>
      <c r="M13" s="83"/>
      <c r="N13" s="83"/>
      <c r="O13" s="83"/>
      <c r="P13" s="83"/>
      <c r="Q13" s="83"/>
      <c r="R13" s="83"/>
      <c r="S13" s="83"/>
      <c r="T13" s="83"/>
      <c r="U13" s="83"/>
      <c r="V13" s="83"/>
      <c r="W13" s="83"/>
      <c r="X13" s="83"/>
      <c r="Y13" s="83"/>
      <c r="Z13" s="83"/>
      <c r="AA13" s="83"/>
    </row>
    <row r="14" spans="2:27" x14ac:dyDescent="0.2">
      <c r="I14" s="109"/>
      <c r="J14" s="81"/>
      <c r="K14" s="230" t="s">
        <v>730</v>
      </c>
      <c r="L14" s="233">
        <v>1552</v>
      </c>
      <c r="M14" s="83"/>
      <c r="N14" s="83"/>
      <c r="O14" s="83"/>
      <c r="P14" s="83"/>
      <c r="Q14" s="83"/>
      <c r="R14" s="83"/>
      <c r="S14" s="83"/>
      <c r="T14" s="83"/>
      <c r="U14" s="83"/>
      <c r="V14" s="83"/>
      <c r="W14" s="83"/>
      <c r="X14" s="83"/>
      <c r="Y14" s="83"/>
      <c r="Z14" s="83"/>
      <c r="AA14" s="83"/>
    </row>
    <row r="15" spans="2:27" x14ac:dyDescent="0.2">
      <c r="I15" s="109"/>
      <c r="J15" s="81"/>
      <c r="K15" s="230" t="s">
        <v>731</v>
      </c>
      <c r="L15" s="233">
        <v>1609</v>
      </c>
      <c r="M15" s="83"/>
      <c r="N15" s="83"/>
      <c r="O15" s="83"/>
      <c r="P15" s="83"/>
      <c r="Q15" s="83"/>
      <c r="R15" s="83"/>
      <c r="S15" s="83"/>
      <c r="T15" s="83"/>
      <c r="U15" s="83"/>
      <c r="V15" s="83"/>
      <c r="W15" s="83"/>
      <c r="X15" s="83"/>
      <c r="Y15" s="83"/>
      <c r="Z15" s="83"/>
      <c r="AA15" s="83"/>
    </row>
    <row r="16" spans="2:27" x14ac:dyDescent="0.2">
      <c r="I16" s="109"/>
      <c r="J16" s="81"/>
      <c r="K16" s="230" t="s">
        <v>732</v>
      </c>
      <c r="L16" s="233">
        <v>943</v>
      </c>
      <c r="M16" s="83"/>
      <c r="N16" s="83"/>
      <c r="O16" s="83"/>
      <c r="P16" s="83"/>
      <c r="Q16" s="83"/>
      <c r="R16" s="83"/>
      <c r="S16" s="83"/>
      <c r="T16" s="83"/>
      <c r="U16" s="83"/>
      <c r="V16" s="83"/>
      <c r="W16" s="83"/>
      <c r="X16" s="83"/>
      <c r="Y16" s="83"/>
      <c r="Z16" s="83"/>
      <c r="AA16" s="83"/>
    </row>
    <row r="17" spans="9:27" x14ac:dyDescent="0.2">
      <c r="I17" s="109"/>
      <c r="J17" s="81"/>
      <c r="K17" s="230" t="s">
        <v>733</v>
      </c>
      <c r="L17" s="233">
        <v>1081</v>
      </c>
      <c r="M17" s="83"/>
      <c r="N17" s="83"/>
      <c r="O17" s="83"/>
      <c r="P17" s="83"/>
      <c r="Q17" s="83"/>
      <c r="R17" s="83"/>
      <c r="S17" s="83"/>
      <c r="T17" s="83"/>
      <c r="U17" s="83"/>
      <c r="V17" s="83"/>
      <c r="W17" s="83"/>
      <c r="X17" s="83"/>
      <c r="Y17" s="83"/>
      <c r="Z17" s="83"/>
      <c r="AA17" s="83"/>
    </row>
    <row r="18" spans="9:27" x14ac:dyDescent="0.2">
      <c r="I18" s="109"/>
      <c r="J18" s="81"/>
      <c r="K18" s="230" t="s">
        <v>734</v>
      </c>
      <c r="L18" s="233">
        <v>952</v>
      </c>
      <c r="M18" s="83"/>
      <c r="N18" s="83"/>
      <c r="O18" s="83"/>
      <c r="P18" s="83"/>
      <c r="Q18" s="83"/>
      <c r="R18" s="83"/>
      <c r="S18" s="83"/>
      <c r="T18" s="83"/>
      <c r="U18" s="83"/>
      <c r="V18" s="83"/>
      <c r="W18" s="83"/>
      <c r="X18" s="83"/>
      <c r="Y18" s="83"/>
      <c r="Z18" s="83"/>
      <c r="AA18" s="83"/>
    </row>
    <row r="19" spans="9:27" x14ac:dyDescent="0.2">
      <c r="I19" s="109"/>
      <c r="J19" s="81"/>
      <c r="K19" s="230" t="s">
        <v>735</v>
      </c>
      <c r="L19" s="233">
        <v>1055</v>
      </c>
      <c r="M19" s="83"/>
      <c r="N19" s="83"/>
      <c r="O19" s="83"/>
      <c r="P19" s="83"/>
      <c r="Q19" s="83"/>
      <c r="R19" s="83"/>
      <c r="S19" s="83"/>
      <c r="T19" s="83"/>
      <c r="U19" s="83"/>
      <c r="V19" s="83"/>
      <c r="W19" s="83"/>
      <c r="X19" s="83"/>
      <c r="Y19" s="83"/>
      <c r="Z19" s="83"/>
      <c r="AA19" s="83"/>
    </row>
    <row r="20" spans="9:27" x14ac:dyDescent="0.2">
      <c r="I20" s="109"/>
      <c r="J20" s="81"/>
      <c r="K20" s="230" t="s">
        <v>736</v>
      </c>
      <c r="L20" s="233">
        <v>1771</v>
      </c>
      <c r="M20" s="83"/>
      <c r="N20" s="83"/>
      <c r="O20" s="83"/>
      <c r="P20" s="83"/>
      <c r="Q20" s="83"/>
      <c r="R20" s="83"/>
      <c r="S20" s="83"/>
      <c r="T20" s="83"/>
      <c r="U20" s="83"/>
      <c r="V20" s="83"/>
      <c r="W20" s="83"/>
      <c r="X20" s="83"/>
      <c r="Y20" s="83"/>
      <c r="Z20" s="83"/>
      <c r="AA20" s="83"/>
    </row>
    <row r="21" spans="9:27" x14ac:dyDescent="0.2">
      <c r="I21" s="109"/>
      <c r="J21" s="81"/>
      <c r="K21" s="230" t="s">
        <v>737</v>
      </c>
      <c r="L21" s="233">
        <v>2246</v>
      </c>
      <c r="M21" s="83"/>
      <c r="N21" s="83"/>
      <c r="O21" s="83"/>
      <c r="P21" s="83"/>
      <c r="Q21" s="83"/>
      <c r="R21" s="83"/>
      <c r="S21" s="83"/>
      <c r="T21" s="83"/>
      <c r="U21" s="83"/>
      <c r="V21" s="83"/>
      <c r="W21" s="83"/>
      <c r="X21" s="83"/>
      <c r="Y21" s="83"/>
      <c r="Z21" s="83"/>
      <c r="AA21" s="83"/>
    </row>
    <row r="22" spans="9:27" x14ac:dyDescent="0.2">
      <c r="I22" s="109"/>
      <c r="J22" s="81"/>
      <c r="K22" s="230" t="s">
        <v>738</v>
      </c>
      <c r="L22" s="233">
        <v>990</v>
      </c>
      <c r="M22" s="83"/>
      <c r="N22" s="83"/>
      <c r="O22" s="83"/>
      <c r="P22" s="83"/>
      <c r="Q22" s="83"/>
      <c r="R22" s="83"/>
      <c r="S22" s="83"/>
      <c r="T22" s="83"/>
      <c r="U22" s="83"/>
      <c r="V22" s="83"/>
      <c r="W22" s="83"/>
      <c r="X22" s="83"/>
      <c r="Y22" s="83"/>
      <c r="Z22" s="83"/>
      <c r="AA22" s="83"/>
    </row>
    <row r="23" spans="9:27" x14ac:dyDescent="0.2">
      <c r="I23" s="109"/>
      <c r="J23" s="81"/>
      <c r="K23" s="230" t="s">
        <v>739</v>
      </c>
      <c r="L23" s="233">
        <v>1090</v>
      </c>
      <c r="M23" s="83"/>
      <c r="N23" s="83"/>
      <c r="O23" s="83"/>
      <c r="P23" s="83"/>
      <c r="Q23" s="83"/>
      <c r="R23" s="83"/>
      <c r="S23" s="83"/>
      <c r="T23" s="83"/>
      <c r="U23" s="83"/>
      <c r="V23" s="83"/>
      <c r="W23" s="83"/>
      <c r="X23" s="83"/>
      <c r="Y23" s="83"/>
      <c r="Z23" s="83"/>
      <c r="AA23" s="83"/>
    </row>
    <row r="24" spans="9:27" x14ac:dyDescent="0.2">
      <c r="I24" s="109"/>
      <c r="J24" s="81"/>
      <c r="K24" s="231" t="s">
        <v>420</v>
      </c>
      <c r="L24" s="233">
        <f>AVERAGE(L11:L23)</f>
        <v>1289.5897435897436</v>
      </c>
      <c r="M24" s="83"/>
      <c r="N24" s="83"/>
      <c r="O24" s="83"/>
      <c r="P24" s="83"/>
      <c r="Q24" s="83"/>
      <c r="R24" s="83"/>
      <c r="S24" s="83"/>
      <c r="T24" s="83"/>
      <c r="U24" s="83"/>
      <c r="V24" s="83"/>
      <c r="W24" s="83"/>
      <c r="X24" s="83"/>
      <c r="Y24" s="83"/>
      <c r="Z24" s="83"/>
      <c r="AA24" s="83"/>
    </row>
    <row r="25" spans="9:27" x14ac:dyDescent="0.2">
      <c r="I25" s="109"/>
      <c r="J25" s="81"/>
      <c r="K25" s="83"/>
      <c r="L25" s="83"/>
      <c r="M25" s="83"/>
      <c r="N25" s="83"/>
      <c r="O25" s="83"/>
      <c r="P25" s="83"/>
      <c r="Q25" s="83"/>
      <c r="R25" s="83"/>
      <c r="S25" s="83"/>
      <c r="T25" s="83"/>
      <c r="U25" s="83"/>
      <c r="V25" s="83"/>
      <c r="W25" s="83"/>
      <c r="X25" s="83"/>
      <c r="Y25" s="83"/>
      <c r="Z25" s="83"/>
      <c r="AA25" s="83"/>
    </row>
    <row r="26" spans="9:27" x14ac:dyDescent="0.2">
      <c r="I26" s="109"/>
      <c r="J26" s="81"/>
      <c r="K26" s="230" t="s">
        <v>740</v>
      </c>
      <c r="L26" s="83"/>
      <c r="M26" s="83"/>
      <c r="N26" s="233">
        <f>INDEX(US.CPI,MATCH(2022,CPI.years,0))/INDEX(US.CPI,MATCH(2016,CPI.years,0))*L24</f>
        <v>1465.0672309082136</v>
      </c>
      <c r="O26" s="329"/>
      <c r="P26" s="233"/>
      <c r="Q26" s="83"/>
      <c r="R26" s="83"/>
      <c r="S26" s="83"/>
      <c r="T26" s="83"/>
      <c r="U26" s="83"/>
      <c r="V26" s="83"/>
      <c r="W26" s="83"/>
      <c r="X26" s="83"/>
      <c r="Y26" s="83"/>
      <c r="Z26" s="83"/>
      <c r="AA26" s="83"/>
    </row>
    <row r="27" spans="9:27" x14ac:dyDescent="0.2">
      <c r="I27" s="109"/>
      <c r="J27" s="81"/>
      <c r="K27" s="230" t="s">
        <v>741</v>
      </c>
      <c r="L27" s="83"/>
      <c r="M27" s="83"/>
      <c r="N27" s="233">
        <f>N26*USD_to_CAD</f>
        <v>1904.5874001806776</v>
      </c>
      <c r="O27" s="233"/>
      <c r="P27" s="233"/>
      <c r="Q27" s="83"/>
      <c r="R27" s="83"/>
      <c r="S27" s="83"/>
      <c r="T27" s="83"/>
      <c r="U27" s="83"/>
      <c r="V27" s="83"/>
      <c r="W27" s="83"/>
      <c r="X27" s="83"/>
      <c r="Y27" s="83"/>
      <c r="Z27" s="83"/>
      <c r="AA27" s="83"/>
    </row>
    <row r="28" spans="9:27" x14ac:dyDescent="0.2">
      <c r="I28" s="109"/>
      <c r="J28" s="81"/>
      <c r="K28" s="230" t="s">
        <v>742</v>
      </c>
      <c r="L28" s="83"/>
      <c r="M28" s="83"/>
      <c r="N28" s="233">
        <v>1735</v>
      </c>
      <c r="O28" s="233"/>
      <c r="P28" s="233"/>
      <c r="Q28" s="83"/>
      <c r="R28" s="83"/>
      <c r="S28" s="83"/>
      <c r="T28" s="83"/>
      <c r="U28" s="83"/>
      <c r="V28" s="83"/>
      <c r="W28" s="83"/>
      <c r="X28" s="83"/>
      <c r="Y28" s="83"/>
      <c r="Z28" s="83"/>
      <c r="AA28" s="83"/>
    </row>
    <row r="29" spans="9:27" x14ac:dyDescent="0.2">
      <c r="I29" s="109"/>
      <c r="J29" s="81"/>
      <c r="K29" s="230" t="s">
        <v>743</v>
      </c>
      <c r="L29" s="83"/>
      <c r="M29" s="83"/>
      <c r="N29" s="233">
        <f>N33*INDEX(US.CPI,MATCH(2022,CPI.years,0))/INDEX(US.CPI,MATCH(2020,CPI.years,0))*USD_to_CAD</f>
        <v>1075.1459142551414</v>
      </c>
      <c r="O29" s="233"/>
      <c r="P29" s="233"/>
      <c r="Q29" s="83"/>
      <c r="R29" s="83"/>
      <c r="S29" s="83"/>
      <c r="T29" s="83"/>
      <c r="U29" s="83"/>
      <c r="V29" s="83"/>
      <c r="W29" s="83"/>
      <c r="X29" s="83"/>
      <c r="Y29" s="83"/>
      <c r="Z29" s="83"/>
      <c r="AA29" s="83"/>
    </row>
    <row r="30" spans="9:27" x14ac:dyDescent="0.2">
      <c r="I30" s="109"/>
      <c r="J30" s="81"/>
      <c r="K30" s="230" t="s">
        <v>420</v>
      </c>
      <c r="L30" s="83"/>
      <c r="M30" s="83"/>
      <c r="N30" s="233">
        <f>AVERAGE(N27:N29)</f>
        <v>1571.5777714786063</v>
      </c>
      <c r="O30" s="233"/>
      <c r="P30" s="233"/>
      <c r="Q30" s="83"/>
      <c r="R30" s="83"/>
      <c r="S30" s="83"/>
      <c r="T30" s="83"/>
      <c r="U30" s="83"/>
      <c r="V30" s="83"/>
      <c r="W30" s="83"/>
      <c r="X30" s="83"/>
      <c r="Y30" s="83"/>
      <c r="Z30" s="83"/>
      <c r="AA30" s="83"/>
    </row>
    <row r="31" spans="9:27" x14ac:dyDescent="0.2">
      <c r="I31" s="109"/>
      <c r="J31" s="84" t="s">
        <v>744</v>
      </c>
      <c r="K31" s="83"/>
      <c r="L31" s="233"/>
      <c r="M31" s="83"/>
      <c r="N31" s="83"/>
      <c r="O31" s="83"/>
      <c r="P31" s="83"/>
      <c r="Q31" s="83"/>
      <c r="R31" s="83"/>
      <c r="S31" s="83"/>
      <c r="T31" s="83"/>
      <c r="U31" s="83"/>
      <c r="V31" s="83"/>
      <c r="W31" s="83"/>
      <c r="X31" s="83"/>
      <c r="Y31" s="83"/>
      <c r="Z31" s="83"/>
      <c r="AA31" s="83"/>
    </row>
    <row r="32" spans="9:27" x14ac:dyDescent="0.2">
      <c r="I32" s="109"/>
      <c r="J32" s="81"/>
      <c r="K32" s="231" t="s">
        <v>506</v>
      </c>
      <c r="L32" s="83"/>
      <c r="M32" s="83"/>
      <c r="N32" s="233">
        <v>785</v>
      </c>
      <c r="O32" s="233">
        <v>778</v>
      </c>
      <c r="P32" s="233">
        <v>760</v>
      </c>
      <c r="Q32" s="233">
        <v>746</v>
      </c>
      <c r="R32" s="233">
        <v>738</v>
      </c>
      <c r="S32" s="233">
        <v>728</v>
      </c>
      <c r="T32" s="233">
        <v>722</v>
      </c>
      <c r="U32" s="233">
        <v>716</v>
      </c>
      <c r="V32" s="233">
        <v>712</v>
      </c>
      <c r="W32" s="233">
        <v>707</v>
      </c>
      <c r="X32" s="233">
        <v>703</v>
      </c>
      <c r="Y32" s="233">
        <v>699</v>
      </c>
      <c r="Z32" s="233">
        <v>696</v>
      </c>
      <c r="AA32" s="233">
        <v>692</v>
      </c>
    </row>
    <row r="33" spans="8:27" x14ac:dyDescent="0.2">
      <c r="I33" s="109"/>
      <c r="J33" s="81"/>
      <c r="K33" s="231" t="s">
        <v>507</v>
      </c>
      <c r="L33" s="83"/>
      <c r="M33" s="83"/>
      <c r="N33" s="233">
        <v>785</v>
      </c>
      <c r="O33" s="233">
        <v>778</v>
      </c>
      <c r="P33" s="233">
        <v>760</v>
      </c>
      <c r="Q33" s="233">
        <v>746</v>
      </c>
      <c r="R33" s="233">
        <v>738</v>
      </c>
      <c r="S33" s="233">
        <v>728</v>
      </c>
      <c r="T33" s="233">
        <v>722</v>
      </c>
      <c r="U33" s="233">
        <v>716</v>
      </c>
      <c r="V33" s="233">
        <v>712</v>
      </c>
      <c r="W33" s="233">
        <v>707</v>
      </c>
      <c r="X33" s="233">
        <v>703</v>
      </c>
      <c r="Y33" s="233">
        <v>699</v>
      </c>
      <c r="Z33" s="233">
        <v>696</v>
      </c>
      <c r="AA33" s="233">
        <v>692</v>
      </c>
    </row>
    <row r="34" spans="8:27" x14ac:dyDescent="0.2">
      <c r="I34" s="109"/>
      <c r="J34" s="81"/>
      <c r="K34" s="231" t="s">
        <v>508</v>
      </c>
      <c r="L34" s="83"/>
      <c r="M34" s="83"/>
      <c r="N34" s="233">
        <v>785</v>
      </c>
      <c r="O34" s="233">
        <v>778</v>
      </c>
      <c r="P34" s="233">
        <v>760</v>
      </c>
      <c r="Q34" s="233">
        <v>746</v>
      </c>
      <c r="R34" s="233">
        <v>738</v>
      </c>
      <c r="S34" s="233">
        <v>728</v>
      </c>
      <c r="T34" s="233">
        <v>722</v>
      </c>
      <c r="U34" s="233">
        <v>716</v>
      </c>
      <c r="V34" s="233">
        <v>712</v>
      </c>
      <c r="W34" s="233">
        <v>707</v>
      </c>
      <c r="X34" s="233">
        <v>703</v>
      </c>
      <c r="Y34" s="233">
        <v>699</v>
      </c>
      <c r="Z34" s="233">
        <v>696</v>
      </c>
      <c r="AA34" s="233">
        <v>692</v>
      </c>
    </row>
    <row r="35" spans="8:27" x14ac:dyDescent="0.2">
      <c r="H35" s="71"/>
      <c r="I35" s="109"/>
      <c r="J35" s="81"/>
      <c r="K35" s="230" t="s">
        <v>677</v>
      </c>
      <c r="L35" s="83"/>
      <c r="M35" s="83"/>
      <c r="N35" s="232">
        <f>N33/$N$33</f>
        <v>1</v>
      </c>
      <c r="O35" s="232">
        <f t="shared" ref="O35:AA35" si="0">O33/$N$33</f>
        <v>0.9910828025477707</v>
      </c>
      <c r="P35" s="232">
        <f t="shared" si="0"/>
        <v>0.96815286624203822</v>
      </c>
      <c r="Q35" s="232">
        <f t="shared" si="0"/>
        <v>0.95031847133757963</v>
      </c>
      <c r="R35" s="232">
        <f t="shared" si="0"/>
        <v>0.94012738853503186</v>
      </c>
      <c r="S35" s="232">
        <f t="shared" si="0"/>
        <v>0.92738853503184715</v>
      </c>
      <c r="T35" s="232">
        <f t="shared" si="0"/>
        <v>0.91974522292993632</v>
      </c>
      <c r="U35" s="232">
        <f t="shared" si="0"/>
        <v>0.9121019108280255</v>
      </c>
      <c r="V35" s="232">
        <f t="shared" si="0"/>
        <v>0.90700636942675161</v>
      </c>
      <c r="W35" s="232">
        <f t="shared" si="0"/>
        <v>0.90063694267515926</v>
      </c>
      <c r="X35" s="232">
        <f t="shared" si="0"/>
        <v>0.89554140127388537</v>
      </c>
      <c r="Y35" s="232">
        <f t="shared" si="0"/>
        <v>0.89044585987261149</v>
      </c>
      <c r="Z35" s="232">
        <f t="shared" si="0"/>
        <v>0.88662420382165608</v>
      </c>
      <c r="AA35" s="232">
        <f t="shared" si="0"/>
        <v>0.88152866242038219</v>
      </c>
    </row>
    <row r="36" spans="8:27" x14ac:dyDescent="0.2">
      <c r="H36" s="71"/>
      <c r="I36" s="138"/>
      <c r="J36" s="138"/>
      <c r="K36" s="138"/>
      <c r="L36" s="234"/>
      <c r="M36" s="234"/>
      <c r="N36" s="234"/>
      <c r="O36" s="234"/>
      <c r="P36" s="234"/>
      <c r="Q36" s="234"/>
      <c r="R36" s="234"/>
      <c r="S36" s="234"/>
      <c r="T36" s="234"/>
      <c r="U36" s="234"/>
      <c r="V36" s="234"/>
      <c r="W36" s="234"/>
      <c r="X36" s="234"/>
      <c r="Y36" s="234"/>
      <c r="Z36" s="234"/>
      <c r="AA36" s="234"/>
    </row>
    <row r="37" spans="8:27" x14ac:dyDescent="0.2">
      <c r="H37" s="71"/>
      <c r="I37" s="103" t="s">
        <v>355</v>
      </c>
      <c r="J37" s="92"/>
      <c r="K37" s="93"/>
      <c r="L37" s="94"/>
      <c r="M37" s="94"/>
      <c r="N37" s="94"/>
      <c r="O37" s="94"/>
      <c r="P37" s="94"/>
      <c r="Q37" s="94"/>
      <c r="R37" s="94"/>
      <c r="S37" s="94"/>
      <c r="T37" s="94"/>
      <c r="U37" s="94"/>
      <c r="V37" s="94"/>
      <c r="W37" s="94"/>
      <c r="X37" s="94"/>
      <c r="Y37" s="94"/>
      <c r="Z37" s="94"/>
      <c r="AA37" s="94"/>
    </row>
    <row r="38" spans="8:27" x14ac:dyDescent="0.2">
      <c r="H38" s="71"/>
      <c r="I38" s="96"/>
      <c r="J38" s="96"/>
      <c r="K38" s="105" t="s">
        <v>357</v>
      </c>
      <c r="L38" s="94"/>
      <c r="M38" s="94"/>
      <c r="N38" s="235" cm="1">
        <f t="array" ref="N38:AA38">N30*N35:AA35</f>
        <v>1571.5777714786063</v>
      </c>
      <c r="O38" s="235">
        <v>1557.563702178797</v>
      </c>
      <c r="P38" s="235">
        <v>1521.5275239792877</v>
      </c>
      <c r="Q38" s="235">
        <v>1493.4993853796693</v>
      </c>
      <c r="R38" s="235">
        <v>1477.4833061798872</v>
      </c>
      <c r="S38" s="235">
        <v>1457.4632071801598</v>
      </c>
      <c r="T38" s="235">
        <v>1445.4511477803233</v>
      </c>
      <c r="U38" s="235">
        <v>1433.4390883804867</v>
      </c>
      <c r="V38" s="235">
        <v>1425.4310487805958</v>
      </c>
      <c r="W38" s="235">
        <v>1415.4209992807321</v>
      </c>
      <c r="X38" s="235">
        <v>1407.4129596808411</v>
      </c>
      <c r="Y38" s="235">
        <v>1399.4049200809502</v>
      </c>
      <c r="Z38" s="235">
        <v>1393.3988903810318</v>
      </c>
      <c r="AA38" s="235">
        <v>1385.3908507811409</v>
      </c>
    </row>
    <row r="39" spans="8:27" x14ac:dyDescent="0.2">
      <c r="H39" s="71"/>
      <c r="J39"/>
      <c r="K39"/>
    </row>
    <row r="40" spans="8:27" x14ac:dyDescent="0.2">
      <c r="H40" s="71" t="s">
        <v>745</v>
      </c>
    </row>
    <row r="41" spans="8:27" x14ac:dyDescent="0.2">
      <c r="H41" s="71"/>
      <c r="I41" s="109"/>
      <c r="J41" s="81"/>
      <c r="K41" s="81" t="s">
        <v>746</v>
      </c>
      <c r="L41" s="171">
        <v>10.29</v>
      </c>
      <c r="M41" s="171">
        <v>23.26</v>
      </c>
      <c r="N41" s="171">
        <v>23.62</v>
      </c>
      <c r="O41" s="171">
        <v>29.7</v>
      </c>
      <c r="P41" s="171">
        <v>54.62</v>
      </c>
      <c r="Q41" s="81"/>
      <c r="R41" s="81"/>
      <c r="S41" s="81"/>
      <c r="T41" s="81"/>
      <c r="U41" s="81"/>
      <c r="V41" s="81"/>
      <c r="W41" s="81"/>
      <c r="X41" s="81"/>
      <c r="Y41" s="81"/>
      <c r="Z41" s="81"/>
      <c r="AA41" s="81"/>
    </row>
    <row r="42" spans="8:27" x14ac:dyDescent="0.2">
      <c r="H42" s="71"/>
      <c r="I42" s="109"/>
      <c r="J42" s="81"/>
      <c r="K42" s="81" t="s">
        <v>747</v>
      </c>
      <c r="L42" s="171">
        <v>6.57</v>
      </c>
      <c r="M42" s="171">
        <v>4.68</v>
      </c>
      <c r="N42" s="171">
        <v>4.99</v>
      </c>
      <c r="O42" s="171">
        <v>6.57</v>
      </c>
      <c r="P42" s="171">
        <v>4.55</v>
      </c>
      <c r="Q42" s="81"/>
      <c r="R42" s="81"/>
      <c r="S42" s="81"/>
      <c r="T42" s="81"/>
      <c r="U42" s="81"/>
      <c r="V42" s="81"/>
      <c r="W42" s="81"/>
      <c r="X42" s="81"/>
      <c r="Y42" s="81"/>
      <c r="Z42" s="81"/>
      <c r="AA42" s="81"/>
    </row>
    <row r="43" spans="8:27" x14ac:dyDescent="0.2">
      <c r="H43" s="71"/>
      <c r="I43" s="109"/>
      <c r="J43" s="81"/>
      <c r="K43" s="81" t="s">
        <v>748</v>
      </c>
      <c r="L43" s="171">
        <f>INDEX(US.CPI,MATCH(2022,CPI.years,0))/INDEX(US.CPI,MATCH(2018,CPI.years,0))*AVERAGE(L41:P41)</f>
        <v>30.727982961162443</v>
      </c>
      <c r="M43" s="171"/>
      <c r="N43" s="171"/>
      <c r="O43" s="171"/>
      <c r="P43" s="171"/>
      <c r="Q43" s="81"/>
      <c r="R43" s="81"/>
      <c r="S43" s="81"/>
      <c r="T43" s="81"/>
      <c r="U43" s="81"/>
      <c r="V43" s="81"/>
      <c r="W43" s="81"/>
      <c r="X43" s="81"/>
      <c r="Y43" s="81"/>
      <c r="Z43" s="81"/>
      <c r="AA43" s="81"/>
    </row>
    <row r="44" spans="8:27" x14ac:dyDescent="0.2">
      <c r="H44" s="71"/>
      <c r="I44" s="109"/>
      <c r="J44" s="81"/>
      <c r="K44" s="81" t="s">
        <v>749</v>
      </c>
      <c r="L44" s="171">
        <f>INDEX(US.CPI,MATCH(2022,CPI.years,0))/INDEX(US.CPI,MATCH(2018,CPI.years,0))*AVERAGE(L42:P42)</f>
        <v>5.9418871568125269</v>
      </c>
      <c r="M44" s="171"/>
      <c r="N44" s="171"/>
      <c r="O44" s="171"/>
      <c r="P44" s="171"/>
      <c r="Q44" s="81"/>
      <c r="R44" s="81"/>
      <c r="S44" s="81"/>
      <c r="T44" s="81"/>
      <c r="U44" s="81"/>
      <c r="V44" s="81"/>
      <c r="W44" s="81"/>
      <c r="X44" s="81"/>
      <c r="Y44" s="81"/>
      <c r="Z44" s="81"/>
      <c r="AA44" s="81"/>
    </row>
    <row r="45" spans="8:27" x14ac:dyDescent="0.2">
      <c r="H45" s="71"/>
      <c r="I45" s="138"/>
      <c r="J45" s="138"/>
      <c r="K45" s="138"/>
      <c r="L45" s="234"/>
      <c r="M45" s="234"/>
      <c r="N45" s="234"/>
      <c r="O45" s="234"/>
      <c r="P45" s="234"/>
      <c r="Q45" s="234"/>
      <c r="R45" s="234"/>
      <c r="S45" s="234"/>
      <c r="T45" s="234"/>
      <c r="U45" s="234"/>
      <c r="V45" s="234"/>
      <c r="W45" s="234"/>
      <c r="X45" s="234"/>
      <c r="Y45" s="234"/>
      <c r="Z45" s="234"/>
      <c r="AA45" s="234"/>
    </row>
    <row r="46" spans="8:27" x14ac:dyDescent="0.2">
      <c r="H46" s="71"/>
      <c r="I46" s="103" t="s">
        <v>355</v>
      </c>
      <c r="J46" s="92"/>
      <c r="K46" s="93"/>
      <c r="L46" s="94"/>
      <c r="M46" s="94"/>
      <c r="N46" s="94"/>
      <c r="O46" s="94"/>
      <c r="P46" s="94"/>
      <c r="Q46" s="94"/>
      <c r="R46" s="94"/>
      <c r="S46" s="94"/>
      <c r="T46" s="94"/>
      <c r="U46" s="94"/>
      <c r="V46" s="94"/>
      <c r="W46" s="94"/>
      <c r="X46" s="94"/>
      <c r="Y46" s="94"/>
      <c r="Z46" s="94"/>
      <c r="AA46" s="94"/>
    </row>
    <row r="47" spans="8:27" x14ac:dyDescent="0.2">
      <c r="H47" s="71"/>
      <c r="I47" s="96"/>
      <c r="J47" s="96"/>
      <c r="K47" s="105" t="s">
        <v>427</v>
      </c>
      <c r="L47" s="94"/>
      <c r="M47" s="94"/>
      <c r="N47" s="235">
        <f t="shared" ref="N47:AA47" si="1">$L$43*USD_to_CAD</f>
        <v>39.94637784951118</v>
      </c>
      <c r="O47" s="235">
        <f t="shared" si="1"/>
        <v>39.94637784951118</v>
      </c>
      <c r="P47" s="235">
        <f t="shared" si="1"/>
        <v>39.94637784951118</v>
      </c>
      <c r="Q47" s="235">
        <f t="shared" si="1"/>
        <v>39.94637784951118</v>
      </c>
      <c r="R47" s="235">
        <f t="shared" si="1"/>
        <v>39.94637784951118</v>
      </c>
      <c r="S47" s="235">
        <f t="shared" si="1"/>
        <v>39.94637784951118</v>
      </c>
      <c r="T47" s="235">
        <f t="shared" si="1"/>
        <v>39.94637784951118</v>
      </c>
      <c r="U47" s="235">
        <f t="shared" si="1"/>
        <v>39.94637784951118</v>
      </c>
      <c r="V47" s="235">
        <f t="shared" si="1"/>
        <v>39.94637784951118</v>
      </c>
      <c r="W47" s="235">
        <f t="shared" si="1"/>
        <v>39.94637784951118</v>
      </c>
      <c r="X47" s="235">
        <f t="shared" si="1"/>
        <v>39.94637784951118</v>
      </c>
      <c r="Y47" s="235">
        <f t="shared" si="1"/>
        <v>39.94637784951118</v>
      </c>
      <c r="Z47" s="235">
        <f t="shared" si="1"/>
        <v>39.94637784951118</v>
      </c>
      <c r="AA47" s="235">
        <f t="shared" si="1"/>
        <v>39.94637784951118</v>
      </c>
    </row>
    <row r="48" spans="8:27" x14ac:dyDescent="0.2">
      <c r="H48" s="71"/>
      <c r="I48" s="96"/>
      <c r="J48" s="96"/>
      <c r="K48" s="105" t="s">
        <v>750</v>
      </c>
      <c r="L48" s="94"/>
      <c r="M48" s="94"/>
      <c r="N48" s="235">
        <f t="shared" ref="N48:AA48" si="2">$L$44*USD_to_CAD</f>
        <v>7.7244533038562855</v>
      </c>
      <c r="O48" s="235">
        <f t="shared" si="2"/>
        <v>7.7244533038562855</v>
      </c>
      <c r="P48" s="235">
        <f t="shared" si="2"/>
        <v>7.7244533038562855</v>
      </c>
      <c r="Q48" s="235">
        <f t="shared" si="2"/>
        <v>7.7244533038562855</v>
      </c>
      <c r="R48" s="235">
        <f t="shared" si="2"/>
        <v>7.7244533038562855</v>
      </c>
      <c r="S48" s="235">
        <f t="shared" si="2"/>
        <v>7.7244533038562855</v>
      </c>
      <c r="T48" s="235">
        <f t="shared" si="2"/>
        <v>7.7244533038562855</v>
      </c>
      <c r="U48" s="235">
        <f t="shared" si="2"/>
        <v>7.7244533038562855</v>
      </c>
      <c r="V48" s="235">
        <f t="shared" si="2"/>
        <v>7.7244533038562855</v>
      </c>
      <c r="W48" s="235">
        <f t="shared" si="2"/>
        <v>7.7244533038562855</v>
      </c>
      <c r="X48" s="235">
        <f t="shared" si="2"/>
        <v>7.7244533038562855</v>
      </c>
      <c r="Y48" s="235">
        <f t="shared" si="2"/>
        <v>7.7244533038562855</v>
      </c>
      <c r="Z48" s="235">
        <f t="shared" si="2"/>
        <v>7.7244533038562855</v>
      </c>
      <c r="AA48" s="235">
        <f t="shared" si="2"/>
        <v>7.7244533038562855</v>
      </c>
    </row>
    <row r="49" spans="8:28" x14ac:dyDescent="0.2">
      <c r="H49" s="71"/>
    </row>
    <row r="50" spans="8:28" x14ac:dyDescent="0.2">
      <c r="H50" s="71" t="s">
        <v>751</v>
      </c>
    </row>
    <row r="51" spans="8:28" x14ac:dyDescent="0.2">
      <c r="H51" s="71"/>
      <c r="I51" s="109"/>
      <c r="J51" s="81"/>
      <c r="K51" s="81" t="s">
        <v>752</v>
      </c>
      <c r="L51" s="81">
        <v>25</v>
      </c>
      <c r="M51" s="81"/>
      <c r="N51" s="81"/>
      <c r="O51" s="81"/>
      <c r="P51" s="81"/>
      <c r="Q51" s="81"/>
      <c r="R51" s="81"/>
      <c r="S51" s="81"/>
      <c r="T51" s="81"/>
      <c r="U51" s="81"/>
      <c r="V51" s="81"/>
      <c r="W51" s="81"/>
      <c r="X51" s="81"/>
      <c r="Y51" s="81"/>
      <c r="Z51" s="81"/>
      <c r="AA51" s="81"/>
    </row>
    <row r="52" spans="8:28" x14ac:dyDescent="0.2">
      <c r="H52" s="71"/>
      <c r="I52" s="109"/>
      <c r="J52" s="81"/>
      <c r="K52" s="81" t="s">
        <v>753</v>
      </c>
      <c r="L52" s="81">
        <v>9720</v>
      </c>
      <c r="M52" s="81">
        <v>9720</v>
      </c>
      <c r="N52" s="81">
        <v>9720</v>
      </c>
      <c r="O52" s="81">
        <v>9720</v>
      </c>
      <c r="P52" s="81"/>
      <c r="Q52" s="81"/>
      <c r="R52" s="81"/>
      <c r="S52" s="81"/>
      <c r="T52" s="81"/>
      <c r="U52" s="81"/>
      <c r="V52" s="81"/>
      <c r="W52" s="81"/>
      <c r="X52" s="81"/>
      <c r="Y52" s="81"/>
      <c r="Z52" s="81"/>
      <c r="AA52" s="81"/>
    </row>
    <row r="53" spans="8:28" x14ac:dyDescent="0.2">
      <c r="H53" s="71"/>
      <c r="I53" s="109"/>
      <c r="J53" s="81"/>
      <c r="K53" s="81" t="s">
        <v>754</v>
      </c>
      <c r="L53" s="81">
        <f>AVERAGE(L52:O52)</f>
        <v>9720</v>
      </c>
      <c r="M53" s="81"/>
      <c r="N53" s="81"/>
      <c r="O53" s="81"/>
      <c r="P53" s="81"/>
      <c r="Q53" s="81"/>
      <c r="R53" s="81"/>
      <c r="S53" s="81"/>
      <c r="T53" s="81"/>
      <c r="U53" s="81"/>
      <c r="V53" s="81"/>
      <c r="W53" s="81"/>
      <c r="X53" s="81"/>
      <c r="Y53" s="81"/>
      <c r="Z53" s="81"/>
      <c r="AA53" s="81"/>
    </row>
    <row r="54" spans="8:28" x14ac:dyDescent="0.2">
      <c r="H54" s="71" t="s">
        <v>755</v>
      </c>
    </row>
    <row r="55" spans="8:28" x14ac:dyDescent="0.2">
      <c r="H55" s="71"/>
      <c r="I55" s="257" t="s">
        <v>756</v>
      </c>
    </row>
    <row r="56" spans="8:28" x14ac:dyDescent="0.2">
      <c r="I56" s="109"/>
      <c r="J56" s="81"/>
      <c r="K56" s="81" t="s">
        <v>757</v>
      </c>
      <c r="L56" s="81"/>
      <c r="M56" s="81"/>
      <c r="N56" s="171">
        <v>3.8576041666666638</v>
      </c>
      <c r="O56" s="171">
        <v>3.7884374999999979</v>
      </c>
      <c r="P56" s="171">
        <v>3.7558333333333307</v>
      </c>
      <c r="Q56" s="171">
        <v>3.7558333333333307</v>
      </c>
      <c r="R56" s="171">
        <v>3.7558333333333307</v>
      </c>
      <c r="S56" s="171">
        <v>3.7558333333333311</v>
      </c>
      <c r="T56" s="171">
        <v>3.7558333333333311</v>
      </c>
      <c r="U56" s="171">
        <v>3.7558333333333311</v>
      </c>
      <c r="V56" s="171">
        <v>3.7558333333333311</v>
      </c>
      <c r="W56" s="171">
        <v>3.7558333333333311</v>
      </c>
      <c r="X56" s="171">
        <v>3.7558333333333316</v>
      </c>
      <c r="Y56" s="171">
        <v>3.7558333333333316</v>
      </c>
      <c r="Z56" s="171">
        <v>3.7558333333333316</v>
      </c>
      <c r="AA56" s="171">
        <v>3.7558333333333316</v>
      </c>
    </row>
    <row r="57" spans="8:28" x14ac:dyDescent="0.2">
      <c r="I57" s="109"/>
      <c r="J57" s="81"/>
      <c r="K57" s="81" t="s">
        <v>758</v>
      </c>
      <c r="L57" s="81"/>
      <c r="M57" s="81"/>
      <c r="N57" s="171">
        <f>N56*$L$53/1000</f>
        <v>37.495912499999967</v>
      </c>
      <c r="O57" s="171">
        <f t="shared" ref="O57:AA57" si="3">O56*$L$53/1000</f>
        <v>36.823612499999982</v>
      </c>
      <c r="P57" s="171">
        <f t="shared" si="3"/>
        <v>36.506699999999974</v>
      </c>
      <c r="Q57" s="171">
        <f t="shared" si="3"/>
        <v>36.506699999999974</v>
      </c>
      <c r="R57" s="171">
        <f t="shared" si="3"/>
        <v>36.506699999999974</v>
      </c>
      <c r="S57" s="171">
        <f t="shared" si="3"/>
        <v>36.506699999999974</v>
      </c>
      <c r="T57" s="171">
        <f t="shared" si="3"/>
        <v>36.506699999999974</v>
      </c>
      <c r="U57" s="171">
        <f t="shared" si="3"/>
        <v>36.506699999999974</v>
      </c>
      <c r="V57" s="171">
        <f t="shared" si="3"/>
        <v>36.506699999999974</v>
      </c>
      <c r="W57" s="171">
        <f t="shared" si="3"/>
        <v>36.506699999999974</v>
      </c>
      <c r="X57" s="171">
        <f t="shared" si="3"/>
        <v>36.506699999999981</v>
      </c>
      <c r="Y57" s="171">
        <f t="shared" si="3"/>
        <v>36.506699999999981</v>
      </c>
      <c r="Z57" s="171">
        <f t="shared" si="3"/>
        <v>36.506699999999981</v>
      </c>
      <c r="AA57" s="171">
        <f t="shared" si="3"/>
        <v>36.506699999999981</v>
      </c>
      <c r="AB57" s="169"/>
    </row>
    <row r="59" spans="8:28" x14ac:dyDescent="0.2">
      <c r="H59" s="71" t="s">
        <v>759</v>
      </c>
    </row>
    <row r="60" spans="8:28" x14ac:dyDescent="0.2">
      <c r="I60" s="109"/>
      <c r="J60" s="81"/>
      <c r="K60" s="81" t="s">
        <v>760</v>
      </c>
      <c r="L60" s="81">
        <v>117</v>
      </c>
      <c r="M60" s="81"/>
      <c r="N60" s="81"/>
      <c r="O60" s="81"/>
      <c r="P60" s="81"/>
      <c r="Q60" s="81"/>
      <c r="R60" s="81"/>
      <c r="S60" s="81"/>
      <c r="T60" s="81"/>
      <c r="U60" s="81"/>
      <c r="V60" s="81"/>
      <c r="W60" s="81"/>
      <c r="X60" s="81"/>
      <c r="Y60" s="81"/>
      <c r="Z60" s="81"/>
      <c r="AA60" s="81"/>
    </row>
    <row r="61" spans="8:28" x14ac:dyDescent="0.2">
      <c r="I61" s="109"/>
      <c r="J61" s="81"/>
      <c r="K61" s="81" t="s">
        <v>761</v>
      </c>
      <c r="L61" s="81">
        <f>L60*L53/1000</f>
        <v>1137.24</v>
      </c>
      <c r="M61" s="81"/>
      <c r="N61" s="81"/>
      <c r="O61" s="81"/>
      <c r="P61" s="81"/>
      <c r="Q61" s="81"/>
      <c r="R61" s="81"/>
      <c r="S61" s="81"/>
      <c r="T61" s="81"/>
      <c r="U61" s="81"/>
      <c r="V61" s="81"/>
      <c r="W61" s="81"/>
      <c r="X61" s="81"/>
      <c r="Y61" s="81"/>
      <c r="Z61" s="81"/>
      <c r="AA61" s="81"/>
    </row>
    <row r="62" spans="8:28" x14ac:dyDescent="0.2">
      <c r="I62" s="109"/>
      <c r="J62" s="81"/>
      <c r="K62" s="81" t="s">
        <v>762</v>
      </c>
      <c r="L62" s="81">
        <f>L61*0.00045359</f>
        <v>0.51584069160000001</v>
      </c>
      <c r="M62" s="81"/>
      <c r="N62" s="81"/>
      <c r="O62" s="81"/>
      <c r="P62" s="81"/>
      <c r="Q62" s="81"/>
      <c r="R62" s="81"/>
      <c r="S62" s="81"/>
      <c r="T62" s="81"/>
      <c r="U62" s="81"/>
      <c r="V62" s="81"/>
      <c r="W62" s="81"/>
      <c r="X62" s="81"/>
      <c r="Y62" s="81"/>
      <c r="Z62" s="81"/>
      <c r="AA62" s="81"/>
    </row>
    <row r="63" spans="8:28" x14ac:dyDescent="0.2">
      <c r="I63" s="109"/>
      <c r="J63" s="81"/>
      <c r="K63" s="81"/>
      <c r="L63" s="81"/>
      <c r="M63" s="81"/>
      <c r="N63" s="81"/>
      <c r="O63" s="81"/>
      <c r="P63" s="81"/>
      <c r="Q63" s="81"/>
      <c r="R63" s="81"/>
      <c r="S63" s="81"/>
      <c r="T63" s="81"/>
      <c r="U63" s="81"/>
      <c r="V63" s="81"/>
      <c r="W63" s="81"/>
      <c r="X63" s="81"/>
      <c r="Y63" s="81"/>
      <c r="Z63" s="81"/>
      <c r="AA63" s="81"/>
    </row>
    <row r="64" spans="8:28" x14ac:dyDescent="0.2">
      <c r="I64" s="109"/>
      <c r="J64" s="81"/>
      <c r="K64" s="81" t="s">
        <v>763</v>
      </c>
      <c r="L64" s="81"/>
      <c r="M64" s="81"/>
      <c r="N64" s="312" cm="1">
        <f t="array" ref="N64:AA64">TRANSPOSE('Inputs.Gas.Peaker'!L68:L81)</f>
        <v>152</v>
      </c>
      <c r="O64" s="312">
        <v>156</v>
      </c>
      <c r="P64" s="312">
        <v>159.5</v>
      </c>
      <c r="Q64" s="312">
        <v>162.5</v>
      </c>
      <c r="R64" s="312">
        <v>165</v>
      </c>
      <c r="S64" s="312">
        <v>167</v>
      </c>
      <c r="T64" s="312">
        <v>168.5</v>
      </c>
      <c r="U64" s="312">
        <v>169.5</v>
      </c>
      <c r="V64" s="312">
        <v>170</v>
      </c>
      <c r="W64" s="312">
        <v>170</v>
      </c>
      <c r="X64" s="312">
        <v>170</v>
      </c>
      <c r="Y64" s="312">
        <v>170</v>
      </c>
      <c r="Z64" s="312">
        <v>170</v>
      </c>
      <c r="AA64" s="312">
        <v>170</v>
      </c>
    </row>
    <row r="67" spans="11:26" ht="45" x14ac:dyDescent="0.2">
      <c r="K67" s="306" t="s">
        <v>24</v>
      </c>
      <c r="L67" s="307" t="s">
        <v>764</v>
      </c>
      <c r="O67" s="169"/>
      <c r="P67" s="169"/>
      <c r="Q67" s="169"/>
      <c r="R67" s="169"/>
      <c r="S67" s="169"/>
      <c r="T67" s="169"/>
      <c r="U67" s="169"/>
      <c r="V67" s="169"/>
      <c r="W67" s="169"/>
      <c r="X67" s="169"/>
      <c r="Y67" s="169"/>
      <c r="Z67" s="169"/>
    </row>
    <row r="68" spans="11:26" x14ac:dyDescent="0.2">
      <c r="K68" s="308">
        <v>2022</v>
      </c>
      <c r="L68" s="23">
        <f>AVERAGE('Carbon.Tax_Inputs'!K9:K38)</f>
        <v>152</v>
      </c>
      <c r="O68" s="169"/>
      <c r="P68" s="169"/>
    </row>
    <row r="69" spans="11:26" x14ac:dyDescent="0.2">
      <c r="K69" s="23">
        <v>2023</v>
      </c>
      <c r="L69" s="23">
        <f>AVERAGE('Carbon.Tax_Inputs'!K10:K39)</f>
        <v>156</v>
      </c>
      <c r="O69" s="169"/>
      <c r="P69" s="169"/>
    </row>
    <row r="70" spans="11:26" x14ac:dyDescent="0.2">
      <c r="K70" s="23">
        <v>2024</v>
      </c>
      <c r="L70" s="23">
        <f>AVERAGE('Carbon.Tax_Inputs'!K11:K40)</f>
        <v>159.5</v>
      </c>
      <c r="O70" s="169"/>
      <c r="P70" s="169"/>
    </row>
    <row r="71" spans="11:26" x14ac:dyDescent="0.2">
      <c r="K71" s="23">
        <v>2025</v>
      </c>
      <c r="L71" s="23">
        <f>AVERAGE('Carbon.Tax_Inputs'!K12:K41)</f>
        <v>162.5</v>
      </c>
      <c r="O71" s="169"/>
      <c r="P71" s="169"/>
    </row>
    <row r="72" spans="11:26" x14ac:dyDescent="0.2">
      <c r="K72" s="23">
        <v>2026</v>
      </c>
      <c r="L72" s="23">
        <f>AVERAGE('Carbon.Tax_Inputs'!K13:K42)</f>
        <v>165</v>
      </c>
      <c r="O72" s="169"/>
      <c r="P72" s="169"/>
    </row>
    <row r="73" spans="11:26" x14ac:dyDescent="0.2">
      <c r="K73" s="23">
        <v>2027</v>
      </c>
      <c r="L73" s="23">
        <f>AVERAGE('Carbon.Tax_Inputs'!K14:K43)</f>
        <v>167</v>
      </c>
      <c r="O73" s="169"/>
      <c r="P73" s="169"/>
    </row>
    <row r="74" spans="11:26" x14ac:dyDescent="0.2">
      <c r="K74" s="23">
        <v>2028</v>
      </c>
      <c r="L74" s="23">
        <f>AVERAGE('Carbon.Tax_Inputs'!K15:K44)</f>
        <v>168.5</v>
      </c>
      <c r="O74" s="169"/>
      <c r="P74" s="169"/>
    </row>
    <row r="75" spans="11:26" x14ac:dyDescent="0.2">
      <c r="K75" s="23">
        <v>2029</v>
      </c>
      <c r="L75" s="23">
        <f>AVERAGE('Carbon.Tax_Inputs'!K16:K45)</f>
        <v>169.5</v>
      </c>
      <c r="O75" s="169"/>
      <c r="P75" s="169"/>
    </row>
    <row r="76" spans="11:26" x14ac:dyDescent="0.2">
      <c r="K76" s="23">
        <v>2030</v>
      </c>
      <c r="L76" s="23">
        <f>AVERAGE('Carbon.Tax_Inputs'!K17:K46)</f>
        <v>170</v>
      </c>
      <c r="O76" s="169"/>
      <c r="P76" s="169"/>
    </row>
    <row r="77" spans="11:26" x14ac:dyDescent="0.2">
      <c r="K77" s="23">
        <v>2031</v>
      </c>
      <c r="L77" s="23">
        <f>AVERAGE('Carbon.Tax_Inputs'!K18:K47)</f>
        <v>170</v>
      </c>
      <c r="O77" s="169"/>
      <c r="P77" s="169"/>
    </row>
    <row r="78" spans="11:26" x14ac:dyDescent="0.2">
      <c r="K78" s="23">
        <v>2032</v>
      </c>
      <c r="L78" s="23">
        <f>AVERAGE('Carbon.Tax_Inputs'!K19:K48)</f>
        <v>170</v>
      </c>
      <c r="O78" s="169"/>
      <c r="P78" s="169"/>
    </row>
    <row r="79" spans="11:26" x14ac:dyDescent="0.2">
      <c r="K79" s="23">
        <v>2033</v>
      </c>
      <c r="L79" s="23">
        <f>AVERAGE('Carbon.Tax_Inputs'!K20:K49)</f>
        <v>170</v>
      </c>
      <c r="O79" s="169"/>
      <c r="P79" s="169"/>
    </row>
    <row r="80" spans="11:26" x14ac:dyDescent="0.2">
      <c r="K80" s="23">
        <v>2034</v>
      </c>
      <c r="L80" s="23">
        <f>AVERAGE('Carbon.Tax_Inputs'!K21:K50)</f>
        <v>170</v>
      </c>
      <c r="O80" s="169"/>
    </row>
    <row r="81" spans="11:15" x14ac:dyDescent="0.2">
      <c r="K81" s="23">
        <v>2035</v>
      </c>
      <c r="L81" s="23">
        <f>AVERAGE('Carbon.Tax_Inputs'!K22:K51)</f>
        <v>170</v>
      </c>
      <c r="O81" s="169"/>
    </row>
    <row r="82" spans="11:15" x14ac:dyDescent="0.2">
      <c r="K82" s="23">
        <v>2036</v>
      </c>
      <c r="L82" s="23">
        <f>AVERAGE('Carbon.Tax_Inputs'!K23:K52)</f>
        <v>170</v>
      </c>
      <c r="O82" s="169"/>
    </row>
    <row r="83" spans="11:15" x14ac:dyDescent="0.2">
      <c r="K83" s="23">
        <v>2037</v>
      </c>
      <c r="L83" s="23">
        <f>AVERAGE('Carbon.Tax_Inputs'!K24:K53)</f>
        <v>170</v>
      </c>
      <c r="O83" s="169"/>
    </row>
    <row r="84" spans="11:15" x14ac:dyDescent="0.2">
      <c r="K84" s="23">
        <v>2038</v>
      </c>
      <c r="L84" s="23">
        <f>AVERAGE('Carbon.Tax_Inputs'!K25:K54)</f>
        <v>170</v>
      </c>
      <c r="O84" s="169"/>
    </row>
    <row r="85" spans="11:15" x14ac:dyDescent="0.2">
      <c r="K85" s="23">
        <v>2039</v>
      </c>
      <c r="L85" s="23">
        <f>AVERAGE('Carbon.Tax_Inputs'!K26:K55)</f>
        <v>170</v>
      </c>
      <c r="O85" s="169"/>
    </row>
    <row r="86" spans="11:15" x14ac:dyDescent="0.2">
      <c r="K86" s="23">
        <v>2040</v>
      </c>
      <c r="L86" s="23">
        <f>AVERAGE('Carbon.Tax_Inputs'!K27:K56)</f>
        <v>170</v>
      </c>
      <c r="O86" s="169"/>
    </row>
    <row r="87" spans="11:15" x14ac:dyDescent="0.2">
      <c r="K87" s="23">
        <v>2041</v>
      </c>
      <c r="L87" s="23">
        <f>AVERAGE('Carbon.Tax_Inputs'!K28:K57)</f>
        <v>170</v>
      </c>
      <c r="O87" s="169"/>
    </row>
    <row r="88" spans="11:15" x14ac:dyDescent="0.2">
      <c r="K88" s="23">
        <v>2042</v>
      </c>
      <c r="L88" s="23">
        <f>AVERAGE('Carbon.Tax_Inputs'!K29:K58)</f>
        <v>170</v>
      </c>
      <c r="O88" s="169"/>
    </row>
    <row r="89" spans="11:15" x14ac:dyDescent="0.2">
      <c r="K89" s="23">
        <v>2043</v>
      </c>
      <c r="L89" s="23">
        <f>AVERAGE('Carbon.Tax_Inputs'!K30:K59)</f>
        <v>170</v>
      </c>
      <c r="O89" s="169"/>
    </row>
    <row r="90" spans="11:15" x14ac:dyDescent="0.2">
      <c r="K90" s="23">
        <v>2044</v>
      </c>
      <c r="L90" s="23">
        <f>AVERAGE('Carbon.Tax_Inputs'!K31:K60)</f>
        <v>170</v>
      </c>
      <c r="O90" s="169"/>
    </row>
    <row r="91" spans="11:15" x14ac:dyDescent="0.2">
      <c r="K91" s="23">
        <v>2045</v>
      </c>
      <c r="L91" s="23">
        <f>AVERAGE('Carbon.Tax_Inputs'!K32:K61)</f>
        <v>170</v>
      </c>
      <c r="O91" s="169"/>
    </row>
    <row r="92" spans="11:15" x14ac:dyDescent="0.2">
      <c r="K92" s="23">
        <v>2046</v>
      </c>
      <c r="L92" s="23">
        <f>AVERAGE('Carbon.Tax_Inputs'!K33:K62)</f>
        <v>170</v>
      </c>
      <c r="O92" s="169"/>
    </row>
    <row r="93" spans="11:15" x14ac:dyDescent="0.2">
      <c r="K93" s="23">
        <v>2047</v>
      </c>
      <c r="L93" s="23">
        <f>AVERAGE('Carbon.Tax_Inputs'!K34:K63)</f>
        <v>170</v>
      </c>
      <c r="O93" s="169"/>
    </row>
    <row r="94" spans="11:15" x14ac:dyDescent="0.2">
      <c r="K94" s="23">
        <v>2048</v>
      </c>
      <c r="L94" s="23">
        <f>AVERAGE('Carbon.Tax_Inputs'!K35:K64)</f>
        <v>170</v>
      </c>
      <c r="O94" s="169"/>
    </row>
    <row r="95" spans="11:15" x14ac:dyDescent="0.2">
      <c r="K95" s="23">
        <v>2049</v>
      </c>
      <c r="L95" s="23">
        <f>AVERAGE('Carbon.Tax_Inputs'!K36:K65)</f>
        <v>170</v>
      </c>
      <c r="O95" s="169"/>
    </row>
    <row r="96" spans="11:15" x14ac:dyDescent="0.2">
      <c r="K96" s="23">
        <v>2050</v>
      </c>
      <c r="L96" s="23">
        <f>AVERAGE('Carbon.Tax_Inputs'!K37:K66)</f>
        <v>170</v>
      </c>
      <c r="O96" s="169"/>
    </row>
    <row r="97" spans="11:15" x14ac:dyDescent="0.2">
      <c r="K97" s="23">
        <v>2051</v>
      </c>
      <c r="L97" s="23">
        <f>AVERAGE('Carbon.Tax_Inputs'!K38:K67)</f>
        <v>170</v>
      </c>
      <c r="O97" s="169"/>
    </row>
    <row r="98" spans="11:15" x14ac:dyDescent="0.2">
      <c r="K98" s="23">
        <v>2052</v>
      </c>
      <c r="L98" s="23">
        <f>AVERAGE('Carbon.Tax_Inputs'!K39:K68)</f>
        <v>170</v>
      </c>
      <c r="O98" s="169"/>
    </row>
    <row r="99" spans="11:15" x14ac:dyDescent="0.2">
      <c r="K99" s="23">
        <v>2053</v>
      </c>
      <c r="L99" s="23">
        <f>AVERAGE('Carbon.Tax_Inputs'!K40:K68)</f>
        <v>170</v>
      </c>
      <c r="O99" s="169"/>
    </row>
    <row r="100" spans="11:15" x14ac:dyDescent="0.2">
      <c r="K100" s="23">
        <v>2054</v>
      </c>
      <c r="L100" s="23">
        <f>AVERAGE('Carbon.Tax_Inputs'!K41:K68)</f>
        <v>170</v>
      </c>
      <c r="O100" s="169"/>
    </row>
    <row r="101" spans="11:15" x14ac:dyDescent="0.2">
      <c r="K101" s="23">
        <v>2055</v>
      </c>
      <c r="L101" s="23">
        <f>AVERAGE('Carbon.Tax_Inputs'!K42:K68)</f>
        <v>170</v>
      </c>
      <c r="O101" s="169"/>
    </row>
    <row r="102" spans="11:15" x14ac:dyDescent="0.2">
      <c r="K102" s="23">
        <v>2056</v>
      </c>
      <c r="L102" s="23">
        <f>AVERAGE('Carbon.Tax_Inputs'!K43:K68)</f>
        <v>170</v>
      </c>
      <c r="O102" s="169"/>
    </row>
    <row r="103" spans="11:15" x14ac:dyDescent="0.2">
      <c r="K103" s="23">
        <v>2057</v>
      </c>
      <c r="L103" s="23">
        <f>AVERAGE('Carbon.Tax_Inputs'!K44:K68)</f>
        <v>170</v>
      </c>
      <c r="O103" s="169"/>
    </row>
    <row r="104" spans="11:15" x14ac:dyDescent="0.2">
      <c r="K104" s="23">
        <v>2058</v>
      </c>
      <c r="L104" s="23">
        <f>AVERAGE('Carbon.Tax_Inputs'!K45:K68)</f>
        <v>170</v>
      </c>
      <c r="O104" s="169"/>
    </row>
    <row r="105" spans="11:15" x14ac:dyDescent="0.2">
      <c r="K105" s="23">
        <v>2059</v>
      </c>
      <c r="L105" s="23">
        <f>AVERAGE('Carbon.Tax_Inputs'!K46:K68)</f>
        <v>170</v>
      </c>
      <c r="O105" s="169"/>
    </row>
    <row r="106" spans="11:15" x14ac:dyDescent="0.2">
      <c r="K106" s="23">
        <v>2060</v>
      </c>
      <c r="L106" s="23">
        <f>AVERAGE('Carbon.Tax_Inputs'!K47:K68)</f>
        <v>170</v>
      </c>
      <c r="O106" s="169"/>
    </row>
    <row r="107" spans="11:15" x14ac:dyDescent="0.2">
      <c r="K107" s="23">
        <v>2061</v>
      </c>
      <c r="L107" s="23">
        <f>AVERAGE('Carbon.Tax_Inputs'!K48:K68)</f>
        <v>170</v>
      </c>
      <c r="O107" s="169"/>
    </row>
    <row r="108" spans="11:15" x14ac:dyDescent="0.2">
      <c r="K108" s="23">
        <v>2062</v>
      </c>
      <c r="L108" s="23">
        <f>AVERAGE('Carbon.Tax_Inputs'!K49:K68)</f>
        <v>170</v>
      </c>
      <c r="O108" s="169"/>
    </row>
    <row r="109" spans="11:15" x14ac:dyDescent="0.2">
      <c r="K109" s="23">
        <v>2063</v>
      </c>
      <c r="L109" s="23">
        <f>AVERAGE('Carbon.Tax_Inputs'!K50:K68)</f>
        <v>170</v>
      </c>
      <c r="O109" s="169"/>
    </row>
    <row r="110" spans="11:15" x14ac:dyDescent="0.2">
      <c r="K110" s="23">
        <v>2064</v>
      </c>
      <c r="L110" s="23">
        <f>AVERAGE('Carbon.Tax_Inputs'!K51:K68)</f>
        <v>170</v>
      </c>
      <c r="O110" s="169"/>
    </row>
    <row r="111" spans="11:15" x14ac:dyDescent="0.2">
      <c r="K111" s="23">
        <v>2065</v>
      </c>
      <c r="L111" s="23">
        <f>AVERAGE('Carbon.Tax_Inputs'!K52:K68)</f>
        <v>170</v>
      </c>
      <c r="O111" s="169"/>
    </row>
    <row r="112" spans="11:15" x14ac:dyDescent="0.2">
      <c r="O112" s="169"/>
    </row>
    <row r="113" spans="15:15" x14ac:dyDescent="0.2">
      <c r="O113" s="169"/>
    </row>
  </sheetData>
  <mergeCells count="1">
    <mergeCell ref="B3:E3"/>
  </mergeCells>
  <hyperlinks>
    <hyperlink ref="J9" r:id="rId1" display="https://nwcouncil.app.box.com/s/96lf3n8yz9kvpidrvhsv57cd97tcoej7/file/617027984221" xr:uid="{0C765E83-9274-4524-ADAD-EBC2CD8D8F48}"/>
    <hyperlink ref="J31" r:id="rId2" display="https://atb.nrel.gov/electricity/2022/fossil_energy_technologies" xr:uid="{9AA81628-B09B-41A2-B223-2D539D0D84EA}"/>
    <hyperlink ref="I55" r:id="rId3" xr:uid="{AA4B79BE-E1B6-4644-B591-61B6F0DD45EA}"/>
  </hyperlinks>
  <pageMargins left="0.7" right="0.7" top="0.75" bottom="0.75" header="0.3" footer="0.3"/>
  <pageSetup orientation="portrait"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D8C41F-6F30-4821-9290-29CD5B001E02}">
  <sheetPr>
    <tabColor rgb="FFFFC000"/>
  </sheetPr>
  <dimension ref="B1:E23"/>
  <sheetViews>
    <sheetView workbookViewId="0">
      <selection activeCell="E34" sqref="E34"/>
    </sheetView>
  </sheetViews>
  <sheetFormatPr baseColWidth="10" defaultColWidth="8.6640625" defaultRowHeight="15" x14ac:dyDescent="0.2"/>
  <cols>
    <col min="1" max="4" width="2.6640625" customWidth="1"/>
    <col min="5" max="5" width="50.6640625" customWidth="1"/>
  </cols>
  <sheetData>
    <row r="1" spans="2:5" s="299" customFormat="1" ht="21" x14ac:dyDescent="0.25">
      <c r="B1" s="295" t="s">
        <v>5</v>
      </c>
    </row>
    <row r="2" spans="2:5" s="299" customFormat="1" ht="19" x14ac:dyDescent="0.25">
      <c r="B2" s="300" t="str">
        <f>_Cover!B14</f>
        <v>Renewable Cost Forecast</v>
      </c>
    </row>
    <row r="3" spans="2:5" s="299" customFormat="1" x14ac:dyDescent="0.2">
      <c r="B3" s="330" t="str">
        <f ca="1">HYPERLINK("#"&amp;CELL("address", _Cover!B15 ), "Go to Cover Sheet")</f>
        <v>Go to Cover Sheet</v>
      </c>
      <c r="C3" s="332"/>
      <c r="D3" s="332"/>
      <c r="E3" s="332"/>
    </row>
    <row r="4" spans="2:5" s="299" customFormat="1" x14ac:dyDescent="0.2">
      <c r="B4" s="298" t="s">
        <v>6</v>
      </c>
    </row>
    <row r="5" spans="2:5" s="299" customFormat="1" x14ac:dyDescent="0.2"/>
    <row r="6" spans="2:5" x14ac:dyDescent="0.2">
      <c r="D6" s="331" t="str">
        <f ca="1">HYPERLINK("#"&amp;CELL("address", Dashboard!B3 ), "0.0.01  Dashboard")</f>
        <v>0.0.01  Dashboard</v>
      </c>
      <c r="E6" s="331"/>
    </row>
    <row r="7" spans="2:5" x14ac:dyDescent="0.2">
      <c r="D7" s="331" t="str">
        <f ca="1">HYPERLINK("#"&amp;CELL("address", 'Carbon.Tax_Inputs'!B3 ), "0.0.02  Carbon Tax Inputs")</f>
        <v>0.0.02  Carbon Tax Inputs</v>
      </c>
      <c r="E7" s="331"/>
    </row>
    <row r="8" spans="2:5" x14ac:dyDescent="0.2">
      <c r="B8" s="331" t="str">
        <f ca="1">HYPERLINK("#"&amp;CELL("address", Cost_Forecast_SC!B15 ), "1  Renewable Cost Forecast")</f>
        <v>1  Renewable Cost Forecast</v>
      </c>
      <c r="C8" s="331"/>
      <c r="D8" s="331"/>
      <c r="E8" s="331"/>
    </row>
    <row r="9" spans="2:5" x14ac:dyDescent="0.2">
      <c r="D9" s="331" t="str">
        <f ca="1">HYPERLINK("#"&amp;CELL("address", ES.Costs!B3 ), "1.0.01  Energy Storage Cost Forecast for Ontario")</f>
        <v>1.0.01  Energy Storage Cost Forecast for Ontario</v>
      </c>
      <c r="E9" s="331"/>
    </row>
    <row r="10" spans="2:5" x14ac:dyDescent="0.2">
      <c r="D10" s="331" t="str">
        <f ca="1">HYPERLINK("#"&amp;CELL("address", Solar.Costs!B3 ), "1.0.02  Solar Cost Forecast for Ontario")</f>
        <v>1.0.02  Solar Cost Forecast for Ontario</v>
      </c>
      <c r="E10" s="331"/>
    </row>
    <row r="11" spans="2:5" x14ac:dyDescent="0.2">
      <c r="D11" s="331" t="str">
        <f ca="1">HYPERLINK("#"&amp;CELL("address", Solar_ES.Costs!B3 ), "1.0.03  Solar + Energy Storage Cost Forecast for Ontario")</f>
        <v>1.0.03  Solar + Energy Storage Cost Forecast for Ontario</v>
      </c>
      <c r="E11" s="331"/>
    </row>
    <row r="12" spans="2:5" x14ac:dyDescent="0.2">
      <c r="D12" s="331" t="str">
        <f ca="1">HYPERLINK("#"&amp;CELL("address", Wind.Costs!B3 ), "1.0.04  Wind Cost Forecast for Ontario")</f>
        <v>1.0.04  Wind Cost Forecast for Ontario</v>
      </c>
      <c r="E12" s="331"/>
    </row>
    <row r="13" spans="2:5" x14ac:dyDescent="0.2">
      <c r="D13" s="331" t="str">
        <f ca="1">HYPERLINK("#"&amp;CELL("address", Wind_ES.Costs!B3 ), "1.0.05  Wind Cost Forecast for Ontario")</f>
        <v>1.0.05  Wind Cost Forecast for Ontario</v>
      </c>
      <c r="E13" s="331"/>
    </row>
    <row r="14" spans="2:5" x14ac:dyDescent="0.2">
      <c r="D14" s="331" t="str">
        <f ca="1">HYPERLINK("#"&amp;CELL("address", 'Gas.Peaker.Costs'!B3 ), "1.0.06  Gas Peaker Cost Forecast for Ontario")</f>
        <v>1.0.06  Gas Peaker Cost Forecast for Ontario</v>
      </c>
      <c r="E14" s="331"/>
    </row>
    <row r="15" spans="2:5" x14ac:dyDescent="0.2">
      <c r="D15" s="331" t="str">
        <f ca="1">HYPERLINK("#"&amp;CELL("address", 'CCGT.Costs'!B3 ), "1.0.07  Combined Cycle Cost Forecast for Ontario")</f>
        <v>1.0.07  Combined Cycle Cost Forecast for Ontario</v>
      </c>
      <c r="E15" s="331"/>
    </row>
    <row r="16" spans="2:5" x14ac:dyDescent="0.2">
      <c r="B16" s="331" t="str">
        <f ca="1">HYPERLINK("#"&amp;CELL("address", Inputs_SC!B15 ), "2  Resource Cost Forecast")</f>
        <v>2  Resource Cost Forecast</v>
      </c>
      <c r="C16" s="331"/>
      <c r="D16" s="331"/>
      <c r="E16" s="331"/>
    </row>
    <row r="17" spans="2:5" x14ac:dyDescent="0.2">
      <c r="D17" s="331" t="str">
        <f ca="1">HYPERLINK("#"&amp;CELL("address", Inputs.ES!B3 ), "2.0.01  Energy Storage Inputs")</f>
        <v>2.0.01  Energy Storage Inputs</v>
      </c>
      <c r="E17" s="331"/>
    </row>
    <row r="18" spans="2:5" x14ac:dyDescent="0.2">
      <c r="D18" s="331" t="str">
        <f ca="1">HYPERLINK("#"&amp;CELL("address", Inputs.Solar!B3 ), "2.0.02  Solar Inputs")</f>
        <v>2.0.02  Solar Inputs</v>
      </c>
      <c r="E18" s="331"/>
    </row>
    <row r="19" spans="2:5" x14ac:dyDescent="0.2">
      <c r="D19" s="331" t="str">
        <f ca="1">HYPERLINK("#"&amp;CELL("address", Inputs.Wind!B3 ), "2.0.03  Wind")</f>
        <v>2.0.03  Wind</v>
      </c>
      <c r="E19" s="331"/>
    </row>
    <row r="20" spans="2:5" x14ac:dyDescent="0.2">
      <c r="D20" s="331" t="str">
        <f ca="1">HYPERLINK("#"&amp;CELL("address", 'Inputs.Gas.Peaker'!B3 ), "2.0.04  Gas Peaker Inputs")</f>
        <v>2.0.04  Gas Peaker Inputs</v>
      </c>
      <c r="E20" s="331"/>
    </row>
    <row r="21" spans="2:5" x14ac:dyDescent="0.2">
      <c r="D21" s="331" t="str">
        <f ca="1">HYPERLINK("#"&amp;CELL("address", Inputs.CCGT!B3 ), "2.0.05  Gas Peaker Inputs")</f>
        <v>2.0.05  Gas Peaker Inputs</v>
      </c>
      <c r="E21" s="331"/>
    </row>
    <row r="22" spans="2:5" x14ac:dyDescent="0.2">
      <c r="B22" s="331" t="str">
        <f ca="1">HYPERLINK("#"&amp;CELL("address", Lookup_SC!B15 ), "3  Lookup")</f>
        <v>3  Lookup</v>
      </c>
      <c r="C22" s="331"/>
      <c r="D22" s="331"/>
      <c r="E22" s="331"/>
    </row>
    <row r="23" spans="2:5" x14ac:dyDescent="0.2">
      <c r="D23" s="331" t="str">
        <f ca="1">HYPERLINK("#"&amp;CELL("address", Jurisdiction_Inputs!B3 ), "3.0.01  Jurisdictional Inputs")</f>
        <v>3.0.01  Jurisdictional Inputs</v>
      </c>
      <c r="E23" s="331"/>
    </row>
  </sheetData>
  <mergeCells count="19">
    <mergeCell ref="D18:E18"/>
    <mergeCell ref="D15:E15"/>
    <mergeCell ref="B16:E16"/>
    <mergeCell ref="D23:E23"/>
    <mergeCell ref="B3:E3"/>
    <mergeCell ref="D7:E7"/>
    <mergeCell ref="D6:E6"/>
    <mergeCell ref="D9:E9"/>
    <mergeCell ref="D10:E10"/>
    <mergeCell ref="D12:E12"/>
    <mergeCell ref="D17:E17"/>
    <mergeCell ref="D14:E14"/>
    <mergeCell ref="D13:E13"/>
    <mergeCell ref="D21:E21"/>
    <mergeCell ref="D19:E19"/>
    <mergeCell ref="B22:E22"/>
    <mergeCell ref="B8:E8"/>
    <mergeCell ref="D20:E20"/>
    <mergeCell ref="D11:E11"/>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4B859-4193-4433-97F0-A90B0760DC57}">
  <dimension ref="B1:AB93"/>
  <sheetViews>
    <sheetView topLeftCell="J27" workbookViewId="0">
      <selection activeCell="S57" sqref="S57"/>
    </sheetView>
  </sheetViews>
  <sheetFormatPr baseColWidth="10" defaultColWidth="8.83203125" defaultRowHeight="16" x14ac:dyDescent="0.2"/>
  <cols>
    <col min="1" max="1" width="2.6640625" customWidth="1"/>
    <col min="2" max="2" width="2.6640625" style="3" customWidth="1"/>
    <col min="3" max="3" width="2.6640625" style="4" customWidth="1"/>
    <col min="4" max="4" width="2.6640625" style="2" customWidth="1"/>
    <col min="5" max="5" width="20.6640625" customWidth="1"/>
    <col min="6" max="9" width="2.6640625" customWidth="1"/>
    <col min="10" max="10" width="2.6640625" style="32" customWidth="1"/>
    <col min="11" max="11" width="47.5" style="32" customWidth="1"/>
    <col min="12" max="12" width="10.5" style="32" bestFit="1" customWidth="1"/>
    <col min="13" max="13" width="8.83203125" style="32"/>
    <col min="14" max="14" width="11" style="32" bestFit="1" customWidth="1"/>
    <col min="15" max="27" width="8.83203125" style="32"/>
    <col min="28" max="28" width="2.6640625" style="32" customWidth="1"/>
    <col min="29" max="30" width="2.6640625" customWidth="1"/>
  </cols>
  <sheetData>
    <row r="1" spans="2:27" ht="21" x14ac:dyDescent="0.25">
      <c r="B1" s="5" t="s">
        <v>723</v>
      </c>
    </row>
    <row r="2" spans="2:27" ht="19" x14ac:dyDescent="0.25">
      <c r="B2" s="1" t="str">
        <f>_Cover!B14</f>
        <v>Renewable Cost Forecast</v>
      </c>
    </row>
    <row r="3" spans="2:27" ht="15" x14ac:dyDescent="0.2">
      <c r="B3" s="331" t="str">
        <f ca="1">HYPERLINK("#"&amp;CELL("address", _Contents!B3 ), "Go to Table of Contents")</f>
        <v>Go to Table of Contents</v>
      </c>
      <c r="C3" s="331"/>
      <c r="D3" s="331"/>
      <c r="E3" s="331"/>
    </row>
    <row r="4" spans="2:27" x14ac:dyDescent="0.2">
      <c r="L4" s="48">
        <v>2020</v>
      </c>
      <c r="M4" s="48">
        <v>2021</v>
      </c>
      <c r="N4" s="48">
        <v>2022</v>
      </c>
      <c r="O4" s="48">
        <v>2023</v>
      </c>
      <c r="P4" s="48">
        <v>2024</v>
      </c>
      <c r="Q4" s="48">
        <v>2025</v>
      </c>
      <c r="R4" s="48">
        <v>2026</v>
      </c>
      <c r="S4" s="48">
        <v>2027</v>
      </c>
      <c r="T4" s="48">
        <v>2028</v>
      </c>
      <c r="U4" s="48">
        <v>2029</v>
      </c>
      <c r="V4" s="48">
        <v>2030</v>
      </c>
      <c r="W4" s="48">
        <v>2031</v>
      </c>
      <c r="X4" s="48">
        <v>2032</v>
      </c>
      <c r="Y4" s="48">
        <v>2033</v>
      </c>
      <c r="Z4" s="48">
        <v>2034</v>
      </c>
      <c r="AA4" s="48">
        <v>2035</v>
      </c>
    </row>
    <row r="7" spans="2:27" x14ac:dyDescent="0.2">
      <c r="H7" s="71" t="s">
        <v>765</v>
      </c>
      <c r="I7" s="32"/>
    </row>
    <row r="8" spans="2:27" x14ac:dyDescent="0.2">
      <c r="H8" s="52"/>
      <c r="I8" s="80" t="s">
        <v>310</v>
      </c>
      <c r="J8" s="81"/>
      <c r="K8" s="81"/>
      <c r="L8" s="81"/>
      <c r="M8" s="81"/>
      <c r="N8" s="81"/>
      <c r="O8" s="81"/>
      <c r="P8" s="81"/>
      <c r="Q8" s="81"/>
      <c r="R8" s="81"/>
      <c r="S8" s="81"/>
      <c r="T8" s="81"/>
      <c r="U8" s="81"/>
      <c r="V8" s="81"/>
      <c r="W8" s="81"/>
      <c r="X8" s="81"/>
      <c r="Y8" s="81"/>
      <c r="Z8" s="81"/>
      <c r="AA8" s="81"/>
    </row>
    <row r="9" spans="2:27" x14ac:dyDescent="0.2">
      <c r="H9" s="52"/>
      <c r="I9" s="80"/>
      <c r="J9" s="81"/>
      <c r="K9" s="125" t="s">
        <v>766</v>
      </c>
      <c r="L9" s="312">
        <v>2424</v>
      </c>
      <c r="M9" s="81"/>
      <c r="N9" s="81"/>
      <c r="O9" s="81"/>
      <c r="P9" s="81"/>
      <c r="Q9" s="81"/>
      <c r="R9" s="81"/>
      <c r="S9" s="81"/>
      <c r="T9" s="81"/>
      <c r="U9" s="81"/>
      <c r="V9" s="81"/>
      <c r="W9" s="81"/>
      <c r="X9" s="81"/>
      <c r="Y9" s="81"/>
      <c r="Z9" s="81"/>
      <c r="AA9" s="81"/>
    </row>
    <row r="10" spans="2:27" x14ac:dyDescent="0.2">
      <c r="H10" s="52"/>
      <c r="I10" s="80"/>
      <c r="J10" s="81"/>
      <c r="K10" s="230" t="s">
        <v>743</v>
      </c>
      <c r="L10" s="233">
        <f>N15*INDEX(US.CPI,MATCH(2022,CPI.years,0))/INDEX(US.CPI,MATCH(2020,CPI.years,0))*USD_to_CAD</f>
        <v>1209.3679519583311</v>
      </c>
      <c r="M10" s="83"/>
      <c r="N10" s="81"/>
      <c r="O10" s="81"/>
      <c r="P10" s="81"/>
      <c r="Q10" s="81"/>
      <c r="R10" s="81"/>
      <c r="S10" s="81"/>
      <c r="T10" s="81"/>
      <c r="U10" s="81"/>
      <c r="V10" s="81"/>
      <c r="W10" s="81"/>
      <c r="X10" s="81"/>
      <c r="Y10" s="81"/>
      <c r="Z10" s="81"/>
      <c r="AA10" s="81"/>
    </row>
    <row r="11" spans="2:27" x14ac:dyDescent="0.2">
      <c r="H11" s="52"/>
      <c r="I11" s="80"/>
      <c r="J11" s="81"/>
      <c r="K11" s="81" t="s">
        <v>420</v>
      </c>
      <c r="L11" s="312">
        <f>AVERAGE(L9:L10)</f>
        <v>1816.6839759791656</v>
      </c>
      <c r="M11" s="81"/>
      <c r="N11" s="81"/>
      <c r="O11" s="81"/>
      <c r="P11" s="81"/>
      <c r="Q11" s="81"/>
      <c r="R11" s="81"/>
      <c r="S11" s="81"/>
      <c r="T11" s="81"/>
      <c r="U11" s="81"/>
      <c r="V11" s="81"/>
      <c r="W11" s="81"/>
      <c r="X11" s="81"/>
      <c r="Y11" s="81"/>
      <c r="Z11" s="81"/>
      <c r="AA11" s="81"/>
    </row>
    <row r="12" spans="2:27" x14ac:dyDescent="0.2">
      <c r="H12" s="52"/>
      <c r="I12" s="80"/>
      <c r="J12" s="81"/>
      <c r="K12" s="81"/>
      <c r="L12" s="81"/>
      <c r="M12" s="81"/>
      <c r="N12" s="81"/>
      <c r="O12" s="81"/>
      <c r="P12" s="81"/>
      <c r="Q12" s="81"/>
      <c r="R12" s="81"/>
      <c r="S12" s="81"/>
      <c r="T12" s="81"/>
      <c r="U12" s="81"/>
      <c r="V12" s="81"/>
      <c r="W12" s="81"/>
      <c r="X12" s="81"/>
      <c r="Y12" s="81"/>
      <c r="Z12" s="81"/>
      <c r="AA12" s="81"/>
    </row>
    <row r="13" spans="2:27" s="32" customFormat="1" x14ac:dyDescent="0.2">
      <c r="B13" s="3"/>
      <c r="C13" s="4"/>
      <c r="D13" s="2"/>
      <c r="E13"/>
      <c r="F13"/>
      <c r="G13"/>
      <c r="H13"/>
      <c r="I13" s="109"/>
      <c r="J13" s="84" t="s">
        <v>744</v>
      </c>
      <c r="K13" s="83"/>
      <c r="L13" s="233"/>
      <c r="M13" s="83"/>
      <c r="N13" s="83"/>
      <c r="O13" s="83"/>
      <c r="P13" s="83"/>
      <c r="Q13" s="83"/>
      <c r="R13" s="83"/>
      <c r="S13" s="83"/>
      <c r="T13" s="83"/>
      <c r="U13" s="83"/>
      <c r="V13" s="83"/>
      <c r="W13" s="83"/>
      <c r="X13" s="83"/>
      <c r="Y13" s="83"/>
      <c r="Z13" s="83"/>
      <c r="AA13" s="83"/>
    </row>
    <row r="14" spans="2:27" s="32" customFormat="1" x14ac:dyDescent="0.2">
      <c r="B14" s="3"/>
      <c r="C14" s="4"/>
      <c r="D14" s="2"/>
      <c r="E14"/>
      <c r="F14"/>
      <c r="G14"/>
      <c r="H14"/>
      <c r="I14" s="109"/>
      <c r="J14" s="81"/>
      <c r="K14" s="231" t="s">
        <v>506</v>
      </c>
      <c r="L14" s="83"/>
      <c r="M14" s="83"/>
      <c r="N14" s="233">
        <v>883</v>
      </c>
      <c r="O14" s="233">
        <v>878</v>
      </c>
      <c r="P14" s="233">
        <v>866</v>
      </c>
      <c r="Q14" s="233">
        <v>858</v>
      </c>
      <c r="R14" s="233">
        <v>852</v>
      </c>
      <c r="S14" s="233">
        <v>845</v>
      </c>
      <c r="T14" s="233">
        <v>840</v>
      </c>
      <c r="U14" s="233">
        <v>835</v>
      </c>
      <c r="V14" s="233">
        <v>832</v>
      </c>
      <c r="W14" s="233">
        <v>827</v>
      </c>
      <c r="X14" s="233">
        <v>824</v>
      </c>
      <c r="Y14" s="233">
        <v>820</v>
      </c>
      <c r="Z14" s="233">
        <v>817</v>
      </c>
      <c r="AA14" s="233">
        <v>813</v>
      </c>
    </row>
    <row r="15" spans="2:27" s="32" customFormat="1" x14ac:dyDescent="0.2">
      <c r="B15" s="3"/>
      <c r="C15" s="4"/>
      <c r="D15" s="2"/>
      <c r="E15"/>
      <c r="F15"/>
      <c r="G15"/>
      <c r="H15"/>
      <c r="I15" s="109"/>
      <c r="J15" s="81"/>
      <c r="K15" s="231" t="s">
        <v>507</v>
      </c>
      <c r="L15" s="83"/>
      <c r="M15" s="83"/>
      <c r="N15" s="233">
        <v>883</v>
      </c>
      <c r="O15" s="233">
        <v>878</v>
      </c>
      <c r="P15" s="233">
        <v>866</v>
      </c>
      <c r="Q15" s="233">
        <v>858</v>
      </c>
      <c r="R15" s="233">
        <v>852</v>
      </c>
      <c r="S15" s="233">
        <v>845</v>
      </c>
      <c r="T15" s="233">
        <v>840</v>
      </c>
      <c r="U15" s="233">
        <v>835</v>
      </c>
      <c r="V15" s="233">
        <v>832</v>
      </c>
      <c r="W15" s="233">
        <v>827</v>
      </c>
      <c r="X15" s="233">
        <v>824</v>
      </c>
      <c r="Y15" s="233">
        <v>820</v>
      </c>
      <c r="Z15" s="233">
        <v>817</v>
      </c>
      <c r="AA15" s="233">
        <v>813</v>
      </c>
    </row>
    <row r="16" spans="2:27" s="32" customFormat="1" x14ac:dyDescent="0.2">
      <c r="B16" s="3"/>
      <c r="C16" s="4"/>
      <c r="D16" s="2"/>
      <c r="E16"/>
      <c r="F16"/>
      <c r="G16"/>
      <c r="H16"/>
      <c r="I16" s="109"/>
      <c r="J16" s="81"/>
      <c r="K16" s="231" t="s">
        <v>508</v>
      </c>
      <c r="L16" s="83"/>
      <c r="M16" s="83"/>
      <c r="N16" s="233">
        <v>883</v>
      </c>
      <c r="O16" s="233">
        <v>878</v>
      </c>
      <c r="P16" s="233">
        <v>866</v>
      </c>
      <c r="Q16" s="233">
        <v>858</v>
      </c>
      <c r="R16" s="233">
        <v>852</v>
      </c>
      <c r="S16" s="233">
        <v>845</v>
      </c>
      <c r="T16" s="233">
        <v>840</v>
      </c>
      <c r="U16" s="233">
        <v>835</v>
      </c>
      <c r="V16" s="233">
        <v>832</v>
      </c>
      <c r="W16" s="233">
        <v>827</v>
      </c>
      <c r="X16" s="233">
        <v>824</v>
      </c>
      <c r="Y16" s="233">
        <v>820</v>
      </c>
      <c r="Z16" s="233">
        <v>817</v>
      </c>
      <c r="AA16" s="233">
        <v>813</v>
      </c>
    </row>
    <row r="17" spans="2:27" s="32" customFormat="1" x14ac:dyDescent="0.2">
      <c r="B17" s="3"/>
      <c r="C17" s="4"/>
      <c r="D17" s="2"/>
      <c r="E17"/>
      <c r="F17"/>
      <c r="G17"/>
      <c r="H17" s="71"/>
      <c r="I17" s="109"/>
      <c r="J17" s="81"/>
      <c r="K17" s="230" t="s">
        <v>677</v>
      </c>
      <c r="L17" s="83"/>
      <c r="M17" s="83"/>
      <c r="N17" s="232">
        <f>N15/$N$15</f>
        <v>1</v>
      </c>
      <c r="O17" s="232">
        <f t="shared" ref="O17:AA17" si="0">O15/$N$15</f>
        <v>0.99433748584371462</v>
      </c>
      <c r="P17" s="232">
        <f t="shared" si="0"/>
        <v>0.98074745186862966</v>
      </c>
      <c r="Q17" s="232">
        <f t="shared" si="0"/>
        <v>0.9716874292185731</v>
      </c>
      <c r="R17" s="232">
        <f t="shared" si="0"/>
        <v>0.96489241223103062</v>
      </c>
      <c r="S17" s="232">
        <f t="shared" si="0"/>
        <v>0.95696489241223104</v>
      </c>
      <c r="T17" s="232">
        <f t="shared" si="0"/>
        <v>0.95130237825594566</v>
      </c>
      <c r="U17" s="232">
        <f t="shared" si="0"/>
        <v>0.94563986409966028</v>
      </c>
      <c r="V17" s="232">
        <f t="shared" si="0"/>
        <v>0.94224235560588898</v>
      </c>
      <c r="W17" s="232">
        <f t="shared" si="0"/>
        <v>0.9365798414496036</v>
      </c>
      <c r="X17" s="232">
        <f t="shared" si="0"/>
        <v>0.93318233295583242</v>
      </c>
      <c r="Y17" s="232">
        <f t="shared" si="0"/>
        <v>0.92865232163080402</v>
      </c>
      <c r="Z17" s="232">
        <f t="shared" si="0"/>
        <v>0.92525481313703284</v>
      </c>
      <c r="AA17" s="232">
        <f t="shared" si="0"/>
        <v>0.92072480181200456</v>
      </c>
    </row>
    <row r="18" spans="2:27" s="32" customFormat="1" x14ac:dyDescent="0.2">
      <c r="B18" s="3"/>
      <c r="C18" s="4"/>
      <c r="D18" s="2"/>
      <c r="E18"/>
      <c r="F18"/>
      <c r="G18"/>
      <c r="H18" s="71"/>
      <c r="I18" s="138"/>
      <c r="J18" s="138"/>
      <c r="K18" s="138"/>
      <c r="L18" s="234"/>
      <c r="M18" s="234"/>
      <c r="N18" s="234"/>
      <c r="O18" s="234"/>
      <c r="P18" s="234"/>
      <c r="Q18" s="234"/>
      <c r="R18" s="234"/>
      <c r="S18" s="234"/>
      <c r="T18" s="234"/>
      <c r="U18" s="234"/>
      <c r="V18" s="234"/>
      <c r="W18" s="234"/>
      <c r="X18" s="234"/>
      <c r="Y18" s="234"/>
      <c r="Z18" s="234"/>
      <c r="AA18" s="234"/>
    </row>
    <row r="19" spans="2:27" s="32" customFormat="1" x14ac:dyDescent="0.2">
      <c r="B19" s="3"/>
      <c r="C19" s="4"/>
      <c r="D19" s="2"/>
      <c r="E19"/>
      <c r="F19"/>
      <c r="G19"/>
      <c r="H19" s="71"/>
      <c r="I19" s="103" t="s">
        <v>355</v>
      </c>
      <c r="J19" s="92"/>
      <c r="K19" s="93"/>
      <c r="L19" s="94"/>
      <c r="M19" s="94"/>
      <c r="N19" s="94"/>
      <c r="O19" s="94"/>
      <c r="P19" s="94"/>
      <c r="Q19" s="94"/>
      <c r="R19" s="94"/>
      <c r="S19" s="94"/>
      <c r="T19" s="94"/>
      <c r="U19" s="94"/>
      <c r="V19" s="94"/>
      <c r="W19" s="94"/>
      <c r="X19" s="94"/>
      <c r="Y19" s="94"/>
      <c r="Z19" s="94"/>
      <c r="AA19" s="94"/>
    </row>
    <row r="20" spans="2:27" s="32" customFormat="1" x14ac:dyDescent="0.2">
      <c r="B20" s="3"/>
      <c r="C20" s="4"/>
      <c r="D20" s="2"/>
      <c r="E20"/>
      <c r="F20"/>
      <c r="G20"/>
      <c r="H20" s="71"/>
      <c r="I20" s="96"/>
      <c r="J20" s="96"/>
      <c r="K20" s="105" t="s">
        <v>357</v>
      </c>
      <c r="L20" s="94"/>
      <c r="M20" s="94"/>
      <c r="N20" s="235" cm="1">
        <f t="array" ref="N20:AA20">L11*N17:AA17</f>
        <v>1816.6839759791656</v>
      </c>
      <c r="O20" s="235">
        <v>1806.3969772476867</v>
      </c>
      <c r="P20" s="235">
        <v>1781.7081802921375</v>
      </c>
      <c r="Q20" s="235">
        <v>1765.2489823217713</v>
      </c>
      <c r="R20" s="235">
        <v>1752.9045838439968</v>
      </c>
      <c r="S20" s="235">
        <v>1738.5027856199263</v>
      </c>
      <c r="T20" s="235">
        <v>1728.2157868884474</v>
      </c>
      <c r="U20" s="235">
        <v>1717.9287881569685</v>
      </c>
      <c r="V20" s="235">
        <v>1711.7565889180812</v>
      </c>
      <c r="W20" s="235">
        <v>1701.4695901866023</v>
      </c>
      <c r="X20" s="235">
        <v>1695.297390947715</v>
      </c>
      <c r="Y20" s="235">
        <v>1687.0677919625318</v>
      </c>
      <c r="Z20" s="235">
        <v>1680.8955927236448</v>
      </c>
      <c r="AA20" s="235">
        <v>1672.6659937384616</v>
      </c>
    </row>
    <row r="21" spans="2:27" s="32" customFormat="1" x14ac:dyDescent="0.2">
      <c r="B21" s="3"/>
      <c r="C21" s="4"/>
      <c r="D21" s="2"/>
      <c r="E21"/>
      <c r="F21"/>
      <c r="G21"/>
      <c r="H21" s="71"/>
      <c r="I21"/>
      <c r="J21"/>
      <c r="K21"/>
    </row>
    <row r="22" spans="2:27" s="32" customFormat="1" x14ac:dyDescent="0.2">
      <c r="B22" s="3"/>
      <c r="C22" s="4"/>
      <c r="D22" s="2"/>
      <c r="E22"/>
      <c r="F22"/>
      <c r="G22"/>
      <c r="H22" s="71" t="s">
        <v>767</v>
      </c>
      <c r="I22"/>
    </row>
    <row r="23" spans="2:27" s="32" customFormat="1" x14ac:dyDescent="0.2">
      <c r="B23" s="3"/>
      <c r="C23" s="4"/>
      <c r="D23" s="2"/>
      <c r="E23"/>
      <c r="F23"/>
      <c r="G23"/>
      <c r="H23" s="71"/>
      <c r="I23" s="109"/>
      <c r="J23" s="81"/>
      <c r="K23" s="81" t="s">
        <v>746</v>
      </c>
      <c r="L23" s="171"/>
      <c r="M23" s="171"/>
      <c r="N23" s="171">
        <v>28</v>
      </c>
      <c r="O23" s="171">
        <v>28</v>
      </c>
      <c r="P23" s="171">
        <v>28</v>
      </c>
      <c r="Q23" s="171">
        <v>28</v>
      </c>
      <c r="R23" s="171">
        <v>28</v>
      </c>
      <c r="S23" s="171">
        <v>28</v>
      </c>
      <c r="T23" s="171">
        <v>28</v>
      </c>
      <c r="U23" s="171">
        <v>28</v>
      </c>
      <c r="V23" s="171">
        <v>28</v>
      </c>
      <c r="W23" s="171">
        <v>28</v>
      </c>
      <c r="X23" s="171">
        <v>28</v>
      </c>
      <c r="Y23" s="171">
        <v>28</v>
      </c>
      <c r="Z23" s="171">
        <v>28</v>
      </c>
      <c r="AA23" s="171">
        <v>28</v>
      </c>
    </row>
    <row r="24" spans="2:27" s="32" customFormat="1" x14ac:dyDescent="0.2">
      <c r="B24" s="3"/>
      <c r="C24" s="4"/>
      <c r="D24" s="2"/>
      <c r="E24"/>
      <c r="F24"/>
      <c r="G24"/>
      <c r="H24" s="71"/>
      <c r="I24" s="109"/>
      <c r="J24" s="81"/>
      <c r="K24" s="81" t="s">
        <v>747</v>
      </c>
      <c r="L24" s="171"/>
      <c r="M24" s="171"/>
      <c r="N24" s="171">
        <v>2</v>
      </c>
      <c r="O24" s="171">
        <v>2</v>
      </c>
      <c r="P24" s="171">
        <v>2</v>
      </c>
      <c r="Q24" s="171">
        <v>2</v>
      </c>
      <c r="R24" s="171">
        <v>2</v>
      </c>
      <c r="S24" s="171">
        <v>2</v>
      </c>
      <c r="T24" s="171">
        <v>2</v>
      </c>
      <c r="U24" s="171">
        <v>2</v>
      </c>
      <c r="V24" s="171">
        <v>2</v>
      </c>
      <c r="W24" s="171">
        <v>2</v>
      </c>
      <c r="X24" s="171">
        <v>2</v>
      </c>
      <c r="Y24" s="171">
        <v>2</v>
      </c>
      <c r="Z24" s="171">
        <v>2</v>
      </c>
      <c r="AA24" s="171">
        <v>2</v>
      </c>
    </row>
    <row r="25" spans="2:27" s="32" customFormat="1" x14ac:dyDescent="0.2">
      <c r="B25" s="3"/>
      <c r="C25" s="4"/>
      <c r="D25" s="2"/>
      <c r="E25"/>
      <c r="F25"/>
      <c r="G25"/>
      <c r="H25" s="71"/>
      <c r="I25" s="109"/>
      <c r="J25" s="81"/>
      <c r="K25" s="81" t="s">
        <v>748</v>
      </c>
      <c r="L25" s="171">
        <f>INDEX(US.CPI,MATCH(2022,CPI.years,0))/INDEX(US.CPI,MATCH(2018,CPI.years,0))*AVERAGE(L23:P23)</f>
        <v>30.404393346262928</v>
      </c>
      <c r="M25" s="171"/>
      <c r="N25" s="171"/>
      <c r="O25" s="171"/>
      <c r="P25" s="171"/>
      <c r="Q25" s="81"/>
      <c r="R25" s="81"/>
      <c r="S25" s="81"/>
      <c r="T25" s="81"/>
      <c r="U25" s="81"/>
      <c r="V25" s="81"/>
      <c r="W25" s="81"/>
      <c r="X25" s="81"/>
      <c r="Y25" s="81"/>
      <c r="Z25" s="81"/>
      <c r="AA25" s="81"/>
    </row>
    <row r="26" spans="2:27" s="32" customFormat="1" x14ac:dyDescent="0.2">
      <c r="B26" s="3"/>
      <c r="C26" s="4"/>
      <c r="D26" s="2"/>
      <c r="E26"/>
      <c r="F26"/>
      <c r="G26"/>
      <c r="H26" s="71"/>
      <c r="I26" s="109"/>
      <c r="J26" s="81"/>
      <c r="K26" s="81" t="s">
        <v>749</v>
      </c>
      <c r="L26" s="171">
        <f>INDEX(US.CPI,MATCH(2022,CPI.years,0))/INDEX(US.CPI,MATCH(2018,CPI.years,0))*AVERAGE(L24:P24)</f>
        <v>2.1717423818759234</v>
      </c>
      <c r="M26" s="171"/>
      <c r="N26" s="171"/>
      <c r="O26" s="171"/>
      <c r="P26" s="171"/>
      <c r="Q26" s="81"/>
      <c r="R26" s="81"/>
      <c r="S26" s="81"/>
      <c r="T26" s="81"/>
      <c r="U26" s="81"/>
      <c r="V26" s="81"/>
      <c r="W26" s="81"/>
      <c r="X26" s="81"/>
      <c r="Y26" s="81"/>
      <c r="Z26" s="81"/>
      <c r="AA26" s="81"/>
    </row>
    <row r="27" spans="2:27" s="32" customFormat="1" x14ac:dyDescent="0.2">
      <c r="B27" s="3"/>
      <c r="C27" s="4"/>
      <c r="D27" s="2"/>
      <c r="E27"/>
      <c r="F27"/>
      <c r="G27"/>
      <c r="H27" s="71"/>
      <c r="I27" s="138"/>
      <c r="J27" s="138"/>
      <c r="K27" s="138"/>
      <c r="L27" s="234"/>
      <c r="M27" s="234"/>
      <c r="N27" s="234"/>
      <c r="O27" s="234"/>
      <c r="P27" s="234"/>
      <c r="Q27" s="234"/>
      <c r="R27" s="234"/>
      <c r="S27" s="234"/>
      <c r="T27" s="234"/>
      <c r="U27" s="234"/>
      <c r="V27" s="234"/>
      <c r="W27" s="234"/>
      <c r="X27" s="234"/>
      <c r="Y27" s="234"/>
      <c r="Z27" s="234"/>
      <c r="AA27" s="234"/>
    </row>
    <row r="28" spans="2:27" s="32" customFormat="1" x14ac:dyDescent="0.2">
      <c r="B28" s="3"/>
      <c r="C28" s="4"/>
      <c r="D28" s="2"/>
      <c r="E28"/>
      <c r="F28"/>
      <c r="G28"/>
      <c r="H28" s="71"/>
      <c r="I28" s="103" t="s">
        <v>355</v>
      </c>
      <c r="J28" s="92"/>
      <c r="K28" s="93"/>
      <c r="L28" s="94"/>
      <c r="M28" s="94"/>
      <c r="N28" s="94"/>
      <c r="O28" s="94"/>
      <c r="P28" s="94"/>
      <c r="Q28" s="94"/>
      <c r="R28" s="94"/>
      <c r="S28" s="94"/>
      <c r="T28" s="94"/>
      <c r="U28" s="94"/>
      <c r="V28" s="94"/>
      <c r="W28" s="94"/>
      <c r="X28" s="94"/>
      <c r="Y28" s="94"/>
      <c r="Z28" s="94"/>
      <c r="AA28" s="94"/>
    </row>
    <row r="29" spans="2:27" s="32" customFormat="1" x14ac:dyDescent="0.2">
      <c r="B29" s="3"/>
      <c r="C29" s="4"/>
      <c r="D29" s="2"/>
      <c r="E29"/>
      <c r="F29"/>
      <c r="G29"/>
      <c r="H29" s="71"/>
      <c r="I29" s="96"/>
      <c r="J29" s="96"/>
      <c r="K29" s="105" t="s">
        <v>427</v>
      </c>
      <c r="L29" s="94"/>
      <c r="M29" s="94"/>
      <c r="N29" s="235">
        <f t="shared" ref="N29:AA29" si="1">N23*INDEX(US.CPI,MATCH(2022,CPI.years,0))/INDEX(US.CPI,MATCH(2020,CPI.years,0))*USD_to_CAD</f>
        <v>38.34915362948275</v>
      </c>
      <c r="O29" s="235">
        <f t="shared" si="1"/>
        <v>38.34915362948275</v>
      </c>
      <c r="P29" s="235">
        <f t="shared" si="1"/>
        <v>38.34915362948275</v>
      </c>
      <c r="Q29" s="235">
        <f t="shared" si="1"/>
        <v>38.34915362948275</v>
      </c>
      <c r="R29" s="235">
        <f t="shared" si="1"/>
        <v>38.34915362948275</v>
      </c>
      <c r="S29" s="235">
        <f t="shared" si="1"/>
        <v>38.34915362948275</v>
      </c>
      <c r="T29" s="235">
        <f t="shared" si="1"/>
        <v>38.34915362948275</v>
      </c>
      <c r="U29" s="235">
        <f t="shared" si="1"/>
        <v>38.34915362948275</v>
      </c>
      <c r="V29" s="235">
        <f t="shared" si="1"/>
        <v>38.34915362948275</v>
      </c>
      <c r="W29" s="235">
        <f t="shared" si="1"/>
        <v>38.34915362948275</v>
      </c>
      <c r="X29" s="235">
        <f t="shared" si="1"/>
        <v>38.34915362948275</v>
      </c>
      <c r="Y29" s="235">
        <f t="shared" si="1"/>
        <v>38.34915362948275</v>
      </c>
      <c r="Z29" s="235">
        <f t="shared" si="1"/>
        <v>38.34915362948275</v>
      </c>
      <c r="AA29" s="235">
        <f t="shared" si="1"/>
        <v>38.34915362948275</v>
      </c>
    </row>
    <row r="30" spans="2:27" s="32" customFormat="1" x14ac:dyDescent="0.2">
      <c r="B30" s="3"/>
      <c r="C30" s="4"/>
      <c r="D30" s="2"/>
      <c r="E30"/>
      <c r="F30"/>
      <c r="G30"/>
      <c r="H30" s="71"/>
      <c r="I30" s="96"/>
      <c r="J30" s="96"/>
      <c r="K30" s="105" t="s">
        <v>750</v>
      </c>
      <c r="L30" s="94"/>
      <c r="M30" s="94"/>
      <c r="N30" s="235">
        <f t="shared" ref="N30:AA30" si="2">N24*INDEX(US.CPI,MATCH(2022,CPI.years,0))/INDEX(US.CPI,MATCH(2020,CPI.years,0))*USD_to_CAD</f>
        <v>2.739225259248768</v>
      </c>
      <c r="O30" s="235">
        <f t="shared" si="2"/>
        <v>2.739225259248768</v>
      </c>
      <c r="P30" s="235">
        <f t="shared" si="2"/>
        <v>2.739225259248768</v>
      </c>
      <c r="Q30" s="235">
        <f t="shared" si="2"/>
        <v>2.739225259248768</v>
      </c>
      <c r="R30" s="235">
        <f t="shared" si="2"/>
        <v>2.739225259248768</v>
      </c>
      <c r="S30" s="235">
        <f t="shared" si="2"/>
        <v>2.739225259248768</v>
      </c>
      <c r="T30" s="235">
        <f t="shared" si="2"/>
        <v>2.739225259248768</v>
      </c>
      <c r="U30" s="235">
        <f t="shared" si="2"/>
        <v>2.739225259248768</v>
      </c>
      <c r="V30" s="235">
        <f t="shared" si="2"/>
        <v>2.739225259248768</v>
      </c>
      <c r="W30" s="235">
        <f t="shared" si="2"/>
        <v>2.739225259248768</v>
      </c>
      <c r="X30" s="235">
        <f t="shared" si="2"/>
        <v>2.739225259248768</v>
      </c>
      <c r="Y30" s="235">
        <f t="shared" si="2"/>
        <v>2.739225259248768</v>
      </c>
      <c r="Z30" s="235">
        <f t="shared" si="2"/>
        <v>2.739225259248768</v>
      </c>
      <c r="AA30" s="235">
        <f t="shared" si="2"/>
        <v>2.739225259248768</v>
      </c>
    </row>
    <row r="31" spans="2:27" s="32" customFormat="1" x14ac:dyDescent="0.2">
      <c r="B31" s="3"/>
      <c r="C31" s="4"/>
      <c r="D31" s="2"/>
      <c r="E31"/>
      <c r="F31"/>
      <c r="G31"/>
      <c r="H31" s="71"/>
      <c r="I31"/>
    </row>
    <row r="32" spans="2:27" s="32" customFormat="1" x14ac:dyDescent="0.2">
      <c r="B32" s="3"/>
      <c r="C32" s="4"/>
      <c r="D32" s="2"/>
      <c r="E32"/>
      <c r="F32"/>
      <c r="G32"/>
      <c r="H32" s="71" t="s">
        <v>768</v>
      </c>
      <c r="I32"/>
    </row>
    <row r="33" spans="2:28" s="32" customFormat="1" x14ac:dyDescent="0.2">
      <c r="B33" s="3"/>
      <c r="C33" s="4"/>
      <c r="D33" s="2"/>
      <c r="E33"/>
      <c r="F33"/>
      <c r="G33"/>
      <c r="H33" s="71"/>
      <c r="I33" s="109"/>
      <c r="J33" s="81"/>
      <c r="K33" s="81" t="s">
        <v>752</v>
      </c>
      <c r="L33" s="81">
        <v>25</v>
      </c>
      <c r="M33" s="81"/>
      <c r="N33" s="81"/>
      <c r="O33" s="81"/>
      <c r="P33" s="81"/>
      <c r="Q33" s="81"/>
      <c r="R33" s="81"/>
      <c r="S33" s="81"/>
      <c r="T33" s="81"/>
      <c r="U33" s="81"/>
      <c r="V33" s="81"/>
      <c r="W33" s="81"/>
      <c r="X33" s="81"/>
      <c r="Y33" s="81"/>
      <c r="Z33" s="81"/>
      <c r="AA33" s="81"/>
    </row>
    <row r="34" spans="2:28" s="32" customFormat="1" x14ac:dyDescent="0.2">
      <c r="B34" s="3"/>
      <c r="C34" s="4"/>
      <c r="D34" s="2"/>
      <c r="E34"/>
      <c r="F34"/>
      <c r="G34"/>
      <c r="H34" s="71"/>
      <c r="I34" s="109"/>
      <c r="J34" s="81"/>
      <c r="K34" s="81" t="s">
        <v>753</v>
      </c>
      <c r="L34" s="81">
        <v>6360</v>
      </c>
      <c r="M34" s="81">
        <v>6360</v>
      </c>
      <c r="N34" s="81">
        <v>6360</v>
      </c>
      <c r="O34" s="81">
        <v>6360</v>
      </c>
      <c r="P34" s="81"/>
      <c r="Q34" s="81"/>
      <c r="R34" s="81"/>
      <c r="S34" s="81"/>
      <c r="T34" s="81"/>
      <c r="U34" s="81"/>
      <c r="V34" s="81"/>
      <c r="W34" s="81"/>
      <c r="X34" s="81"/>
      <c r="Y34" s="81"/>
      <c r="Z34" s="81"/>
      <c r="AA34" s="81"/>
    </row>
    <row r="35" spans="2:28" x14ac:dyDescent="0.2">
      <c r="H35" s="71"/>
      <c r="I35" s="109"/>
      <c r="J35" s="81"/>
      <c r="K35" s="81" t="s">
        <v>754</v>
      </c>
      <c r="L35" s="81">
        <f>AVERAGE(L34:O34)</f>
        <v>6360</v>
      </c>
      <c r="M35" s="81"/>
      <c r="N35" s="81"/>
      <c r="O35" s="81"/>
      <c r="P35" s="81"/>
      <c r="Q35" s="81"/>
      <c r="R35" s="81"/>
      <c r="S35" s="81"/>
      <c r="T35" s="81"/>
      <c r="U35" s="81"/>
      <c r="V35" s="81"/>
      <c r="W35" s="81"/>
      <c r="X35" s="81"/>
      <c r="Y35" s="81"/>
      <c r="Z35" s="81"/>
      <c r="AA35" s="81"/>
    </row>
    <row r="36" spans="2:28" x14ac:dyDescent="0.2">
      <c r="H36" s="71" t="s">
        <v>755</v>
      </c>
    </row>
    <row r="37" spans="2:28" x14ac:dyDescent="0.2">
      <c r="H37" s="71"/>
      <c r="I37" s="257" t="s">
        <v>756</v>
      </c>
    </row>
    <row r="38" spans="2:28" x14ac:dyDescent="0.2">
      <c r="I38" s="109"/>
      <c r="J38" s="81"/>
      <c r="K38" s="81" t="s">
        <v>757</v>
      </c>
      <c r="L38" s="81"/>
      <c r="M38" s="81"/>
      <c r="N38" s="171">
        <v>3.8576041666666638</v>
      </c>
      <c r="O38" s="171">
        <v>3.7884374999999979</v>
      </c>
      <c r="P38" s="171">
        <v>3.7558333333333307</v>
      </c>
      <c r="Q38" s="171">
        <v>3.7558333333333307</v>
      </c>
      <c r="R38" s="171">
        <v>3.7558333333333307</v>
      </c>
      <c r="S38" s="171">
        <v>3.7558333333333311</v>
      </c>
      <c r="T38" s="171">
        <v>3.7558333333333311</v>
      </c>
      <c r="U38" s="171">
        <v>3.7558333333333311</v>
      </c>
      <c r="V38" s="171">
        <v>3.7558333333333311</v>
      </c>
      <c r="W38" s="171">
        <v>3.7558333333333311</v>
      </c>
      <c r="X38" s="171">
        <v>3.7558333333333316</v>
      </c>
      <c r="Y38" s="171">
        <v>3.7558333333333316</v>
      </c>
      <c r="Z38" s="171">
        <v>3.7558333333333316</v>
      </c>
      <c r="AA38" s="171">
        <v>3.7558333333333316</v>
      </c>
    </row>
    <row r="39" spans="2:28" x14ac:dyDescent="0.2">
      <c r="I39" s="109"/>
      <c r="J39" s="81"/>
      <c r="K39" s="81" t="s">
        <v>758</v>
      </c>
      <c r="L39" s="81"/>
      <c r="M39" s="81"/>
      <c r="N39" s="171">
        <f>N38*$L$35/1000</f>
        <v>24.534362499999983</v>
      </c>
      <c r="O39" s="171">
        <f t="shared" ref="O39:AA39" si="3">O38*$L$35/1000</f>
        <v>24.094462499999988</v>
      </c>
      <c r="P39" s="171">
        <f t="shared" si="3"/>
        <v>23.887099999999982</v>
      </c>
      <c r="Q39" s="171">
        <f t="shared" si="3"/>
        <v>23.887099999999982</v>
      </c>
      <c r="R39" s="171">
        <f t="shared" si="3"/>
        <v>23.887099999999982</v>
      </c>
      <c r="S39" s="171">
        <f t="shared" si="3"/>
        <v>23.887099999999986</v>
      </c>
      <c r="T39" s="171">
        <f t="shared" si="3"/>
        <v>23.887099999999986</v>
      </c>
      <c r="U39" s="171">
        <f t="shared" si="3"/>
        <v>23.887099999999986</v>
      </c>
      <c r="V39" s="171">
        <f t="shared" si="3"/>
        <v>23.887099999999986</v>
      </c>
      <c r="W39" s="171">
        <f t="shared" si="3"/>
        <v>23.887099999999986</v>
      </c>
      <c r="X39" s="171">
        <f t="shared" si="3"/>
        <v>23.887099999999986</v>
      </c>
      <c r="Y39" s="171">
        <f t="shared" si="3"/>
        <v>23.887099999999986</v>
      </c>
      <c r="Z39" s="171">
        <f t="shared" si="3"/>
        <v>23.887099999999986</v>
      </c>
      <c r="AA39" s="171">
        <f t="shared" si="3"/>
        <v>23.887099999999986</v>
      </c>
      <c r="AB39" s="169"/>
    </row>
    <row r="41" spans="2:28" x14ac:dyDescent="0.2">
      <c r="H41" s="71" t="s">
        <v>759</v>
      </c>
    </row>
    <row r="42" spans="2:28" x14ac:dyDescent="0.2">
      <c r="I42" s="109"/>
      <c r="J42" s="81"/>
      <c r="K42" s="81" t="s">
        <v>760</v>
      </c>
      <c r="L42" s="81">
        <v>117</v>
      </c>
      <c r="M42" s="81"/>
      <c r="N42" s="81"/>
      <c r="O42" s="81"/>
      <c r="P42" s="81"/>
      <c r="Q42" s="81"/>
      <c r="R42" s="81"/>
      <c r="S42" s="81"/>
      <c r="T42" s="81"/>
      <c r="U42" s="81"/>
      <c r="V42" s="81"/>
      <c r="W42" s="81"/>
      <c r="X42" s="81"/>
      <c r="Y42" s="81"/>
      <c r="Z42" s="81"/>
      <c r="AA42" s="81"/>
    </row>
    <row r="43" spans="2:28" x14ac:dyDescent="0.2">
      <c r="I43" s="109"/>
      <c r="J43" s="81"/>
      <c r="K43" s="81" t="s">
        <v>761</v>
      </c>
      <c r="L43" s="81">
        <f>L42*L35/1000</f>
        <v>744.12</v>
      </c>
      <c r="M43" s="81"/>
      <c r="N43" s="81"/>
      <c r="O43" s="81"/>
      <c r="P43" s="81"/>
      <c r="Q43" s="81"/>
      <c r="R43" s="81"/>
      <c r="S43" s="81"/>
      <c r="T43" s="81"/>
      <c r="U43" s="81"/>
      <c r="V43" s="81"/>
      <c r="W43" s="81"/>
      <c r="X43" s="81"/>
      <c r="Y43" s="81"/>
      <c r="Z43" s="81"/>
      <c r="AA43" s="81"/>
    </row>
    <row r="44" spans="2:28" x14ac:dyDescent="0.2">
      <c r="I44" s="109"/>
      <c r="J44" s="81"/>
      <c r="K44" s="81" t="s">
        <v>762</v>
      </c>
      <c r="L44" s="81">
        <f>L43*0.00045359</f>
        <v>0.33752539080000005</v>
      </c>
      <c r="M44" s="81"/>
      <c r="N44" s="81"/>
      <c r="O44" s="81"/>
      <c r="P44" s="81"/>
      <c r="Q44" s="81"/>
      <c r="R44" s="81"/>
      <c r="S44" s="81"/>
      <c r="T44" s="81"/>
      <c r="U44" s="81"/>
      <c r="V44" s="81"/>
      <c r="W44" s="81"/>
      <c r="X44" s="81"/>
      <c r="Y44" s="81"/>
      <c r="Z44" s="81"/>
      <c r="AA44" s="81"/>
    </row>
    <row r="45" spans="2:28" x14ac:dyDescent="0.2">
      <c r="I45" s="109"/>
      <c r="J45" s="81"/>
      <c r="K45" s="81"/>
      <c r="L45" s="81"/>
      <c r="M45" s="81"/>
      <c r="N45" s="81"/>
      <c r="O45" s="81"/>
      <c r="P45" s="81"/>
      <c r="Q45" s="81"/>
      <c r="R45" s="81"/>
      <c r="S45" s="81"/>
      <c r="T45" s="81"/>
      <c r="U45" s="81"/>
      <c r="V45" s="81"/>
      <c r="W45" s="81"/>
      <c r="X45" s="81"/>
      <c r="Y45" s="81"/>
      <c r="Z45" s="81"/>
      <c r="AA45" s="81"/>
    </row>
    <row r="46" spans="2:28" x14ac:dyDescent="0.2">
      <c r="I46" s="109"/>
      <c r="J46" s="81"/>
      <c r="K46" s="81" t="s">
        <v>763</v>
      </c>
      <c r="L46" s="81"/>
      <c r="M46" s="81"/>
      <c r="N46" s="312" cm="1">
        <f t="array" ref="N46:AA46">TRANSPOSE(Inputs.CCGT!L50:L63)</f>
        <v>152</v>
      </c>
      <c r="O46" s="312">
        <v>156</v>
      </c>
      <c r="P46" s="312">
        <v>159.5</v>
      </c>
      <c r="Q46" s="312">
        <v>162.5</v>
      </c>
      <c r="R46" s="312">
        <v>165</v>
      </c>
      <c r="S46" s="312">
        <v>167</v>
      </c>
      <c r="T46" s="312">
        <v>168.5</v>
      </c>
      <c r="U46" s="312">
        <v>169.5</v>
      </c>
      <c r="V46" s="312">
        <v>170</v>
      </c>
      <c r="W46" s="312">
        <v>170</v>
      </c>
      <c r="X46" s="312">
        <v>170</v>
      </c>
      <c r="Y46" s="312">
        <v>170</v>
      </c>
      <c r="Z46" s="312">
        <v>170</v>
      </c>
      <c r="AA46" s="312">
        <v>170</v>
      </c>
    </row>
    <row r="49" spans="2:12" ht="45" x14ac:dyDescent="0.2">
      <c r="K49" s="306" t="s">
        <v>24</v>
      </c>
      <c r="L49" s="307" t="s">
        <v>764</v>
      </c>
    </row>
    <row r="50" spans="2:12" x14ac:dyDescent="0.2">
      <c r="K50" s="308">
        <v>2022</v>
      </c>
      <c r="L50" s="23">
        <f>AVERAGE('Carbon.Tax_Inputs'!K9:K38)</f>
        <v>152</v>
      </c>
    </row>
    <row r="51" spans="2:12" s="32" customFormat="1" x14ac:dyDescent="0.2">
      <c r="B51" s="3"/>
      <c r="C51" s="4"/>
      <c r="D51" s="2"/>
      <c r="E51"/>
      <c r="F51"/>
      <c r="G51"/>
      <c r="H51"/>
      <c r="I51"/>
      <c r="K51" s="23">
        <v>2023</v>
      </c>
      <c r="L51" s="23">
        <f>AVERAGE('Carbon.Tax_Inputs'!K10:K39)</f>
        <v>156</v>
      </c>
    </row>
    <row r="52" spans="2:12" s="32" customFormat="1" x14ac:dyDescent="0.2">
      <c r="B52" s="3"/>
      <c r="C52" s="4"/>
      <c r="D52" s="2"/>
      <c r="E52"/>
      <c r="F52"/>
      <c r="G52"/>
      <c r="H52"/>
      <c r="I52"/>
      <c r="K52" s="23">
        <v>2024</v>
      </c>
      <c r="L52" s="23">
        <f>AVERAGE('Carbon.Tax_Inputs'!K11:K40)</f>
        <v>159.5</v>
      </c>
    </row>
    <row r="53" spans="2:12" s="32" customFormat="1" x14ac:dyDescent="0.2">
      <c r="B53" s="3"/>
      <c r="C53" s="4"/>
      <c r="D53" s="2"/>
      <c r="E53"/>
      <c r="F53"/>
      <c r="G53"/>
      <c r="H53"/>
      <c r="I53"/>
      <c r="K53" s="23">
        <v>2025</v>
      </c>
      <c r="L53" s="23">
        <f>AVERAGE('Carbon.Tax_Inputs'!K12:K41)</f>
        <v>162.5</v>
      </c>
    </row>
    <row r="54" spans="2:12" s="32" customFormat="1" x14ac:dyDescent="0.2">
      <c r="B54" s="3"/>
      <c r="C54" s="4"/>
      <c r="D54" s="2"/>
      <c r="E54"/>
      <c r="F54"/>
      <c r="G54"/>
      <c r="H54"/>
      <c r="I54"/>
      <c r="K54" s="23">
        <v>2026</v>
      </c>
      <c r="L54" s="23">
        <f>AVERAGE('Carbon.Tax_Inputs'!K13:K42)</f>
        <v>165</v>
      </c>
    </row>
    <row r="55" spans="2:12" s="32" customFormat="1" x14ac:dyDescent="0.2">
      <c r="B55" s="3"/>
      <c r="C55" s="4"/>
      <c r="D55" s="2"/>
      <c r="E55"/>
      <c r="F55"/>
      <c r="G55"/>
      <c r="H55"/>
      <c r="I55"/>
      <c r="K55" s="23">
        <v>2027</v>
      </c>
      <c r="L55" s="23">
        <f>AVERAGE('Carbon.Tax_Inputs'!K14:K43)</f>
        <v>167</v>
      </c>
    </row>
    <row r="56" spans="2:12" s="32" customFormat="1" x14ac:dyDescent="0.2">
      <c r="B56" s="3"/>
      <c r="C56" s="4"/>
      <c r="D56" s="2"/>
      <c r="E56"/>
      <c r="F56"/>
      <c r="G56"/>
      <c r="H56"/>
      <c r="I56"/>
      <c r="K56" s="23">
        <v>2028</v>
      </c>
      <c r="L56" s="23">
        <f>AVERAGE('Carbon.Tax_Inputs'!K15:K44)</f>
        <v>168.5</v>
      </c>
    </row>
    <row r="57" spans="2:12" s="32" customFormat="1" x14ac:dyDescent="0.2">
      <c r="B57" s="3"/>
      <c r="C57" s="4"/>
      <c r="D57" s="2"/>
      <c r="E57"/>
      <c r="F57"/>
      <c r="G57"/>
      <c r="H57"/>
      <c r="I57"/>
      <c r="K57" s="23">
        <v>2029</v>
      </c>
      <c r="L57" s="23">
        <f>AVERAGE('Carbon.Tax_Inputs'!K16:K45)</f>
        <v>169.5</v>
      </c>
    </row>
    <row r="58" spans="2:12" s="32" customFormat="1" x14ac:dyDescent="0.2">
      <c r="B58" s="3"/>
      <c r="C58" s="4"/>
      <c r="D58" s="2"/>
      <c r="E58"/>
      <c r="F58"/>
      <c r="G58"/>
      <c r="H58"/>
      <c r="I58"/>
      <c r="K58" s="23">
        <v>2030</v>
      </c>
      <c r="L58" s="23">
        <f>AVERAGE('Carbon.Tax_Inputs'!K17:K46)</f>
        <v>170</v>
      </c>
    </row>
    <row r="59" spans="2:12" s="32" customFormat="1" x14ac:dyDescent="0.2">
      <c r="B59" s="3"/>
      <c r="C59" s="4"/>
      <c r="D59" s="2"/>
      <c r="E59"/>
      <c r="F59"/>
      <c r="G59"/>
      <c r="H59"/>
      <c r="I59"/>
      <c r="K59" s="23">
        <v>2031</v>
      </c>
      <c r="L59" s="23">
        <f>AVERAGE('Carbon.Tax_Inputs'!K18:K47)</f>
        <v>170</v>
      </c>
    </row>
    <row r="60" spans="2:12" s="32" customFormat="1" x14ac:dyDescent="0.2">
      <c r="B60" s="3"/>
      <c r="C60" s="4"/>
      <c r="D60" s="2"/>
      <c r="E60"/>
      <c r="F60"/>
      <c r="G60"/>
      <c r="H60"/>
      <c r="I60"/>
      <c r="K60" s="23">
        <v>2032</v>
      </c>
      <c r="L60" s="23">
        <f>AVERAGE('Carbon.Tax_Inputs'!K19:K48)</f>
        <v>170</v>
      </c>
    </row>
    <row r="61" spans="2:12" s="32" customFormat="1" x14ac:dyDescent="0.2">
      <c r="B61" s="3"/>
      <c r="C61" s="4"/>
      <c r="D61" s="2"/>
      <c r="E61"/>
      <c r="F61"/>
      <c r="G61"/>
      <c r="H61"/>
      <c r="I61"/>
      <c r="K61" s="23">
        <v>2033</v>
      </c>
      <c r="L61" s="23">
        <f>AVERAGE('Carbon.Tax_Inputs'!K20:K49)</f>
        <v>170</v>
      </c>
    </row>
    <row r="62" spans="2:12" s="32" customFormat="1" x14ac:dyDescent="0.2">
      <c r="B62" s="3"/>
      <c r="C62" s="4"/>
      <c r="D62" s="2"/>
      <c r="E62"/>
      <c r="F62"/>
      <c r="G62"/>
      <c r="H62"/>
      <c r="I62"/>
      <c r="K62" s="23">
        <v>2034</v>
      </c>
      <c r="L62" s="23">
        <f>AVERAGE('Carbon.Tax_Inputs'!K21:K50)</f>
        <v>170</v>
      </c>
    </row>
    <row r="63" spans="2:12" s="32" customFormat="1" x14ac:dyDescent="0.2">
      <c r="B63" s="3"/>
      <c r="C63" s="4"/>
      <c r="D63" s="2"/>
      <c r="E63"/>
      <c r="F63"/>
      <c r="G63"/>
      <c r="H63"/>
      <c r="I63"/>
      <c r="K63" s="23">
        <v>2035</v>
      </c>
      <c r="L63" s="23">
        <f>AVERAGE('Carbon.Tax_Inputs'!K22:K51)</f>
        <v>170</v>
      </c>
    </row>
    <row r="64" spans="2:12" s="32" customFormat="1" x14ac:dyDescent="0.2">
      <c r="B64" s="3"/>
      <c r="C64" s="4"/>
      <c r="D64" s="2"/>
      <c r="E64"/>
      <c r="F64"/>
      <c r="G64"/>
      <c r="H64"/>
      <c r="I64"/>
      <c r="K64" s="23">
        <v>2036</v>
      </c>
      <c r="L64" s="23">
        <f>AVERAGE('Carbon.Tax_Inputs'!K23:K52)</f>
        <v>170</v>
      </c>
    </row>
    <row r="65" spans="2:12" s="32" customFormat="1" x14ac:dyDescent="0.2">
      <c r="B65" s="3"/>
      <c r="C65" s="4"/>
      <c r="D65" s="2"/>
      <c r="E65"/>
      <c r="F65"/>
      <c r="G65"/>
      <c r="H65"/>
      <c r="I65"/>
      <c r="K65" s="23">
        <v>2037</v>
      </c>
      <c r="L65" s="23">
        <f>AVERAGE('Carbon.Tax_Inputs'!K24:K53)</f>
        <v>170</v>
      </c>
    </row>
    <row r="66" spans="2:12" s="32" customFormat="1" x14ac:dyDescent="0.2">
      <c r="B66" s="3"/>
      <c r="C66" s="4"/>
      <c r="D66" s="2"/>
      <c r="E66"/>
      <c r="F66"/>
      <c r="G66"/>
      <c r="H66"/>
      <c r="I66"/>
      <c r="K66" s="23">
        <v>2038</v>
      </c>
      <c r="L66" s="23">
        <f>AVERAGE('Carbon.Tax_Inputs'!K25:K54)</f>
        <v>170</v>
      </c>
    </row>
    <row r="67" spans="2:12" s="32" customFormat="1" x14ac:dyDescent="0.2">
      <c r="B67" s="3"/>
      <c r="C67" s="4"/>
      <c r="D67" s="2"/>
      <c r="E67"/>
      <c r="F67"/>
      <c r="G67"/>
      <c r="H67"/>
      <c r="I67"/>
      <c r="K67" s="23">
        <v>2039</v>
      </c>
      <c r="L67" s="23">
        <f>AVERAGE('Carbon.Tax_Inputs'!K26:K55)</f>
        <v>170</v>
      </c>
    </row>
    <row r="68" spans="2:12" s="32" customFormat="1" x14ac:dyDescent="0.2">
      <c r="B68" s="3"/>
      <c r="C68" s="4"/>
      <c r="D68" s="2"/>
      <c r="E68"/>
      <c r="F68"/>
      <c r="G68"/>
      <c r="H68"/>
      <c r="I68"/>
      <c r="K68" s="23">
        <v>2040</v>
      </c>
      <c r="L68" s="23">
        <f>AVERAGE('Carbon.Tax_Inputs'!K27:K56)</f>
        <v>170</v>
      </c>
    </row>
    <row r="69" spans="2:12" s="32" customFormat="1" x14ac:dyDescent="0.2">
      <c r="B69" s="3"/>
      <c r="C69" s="4"/>
      <c r="D69" s="2"/>
      <c r="E69"/>
      <c r="F69"/>
      <c r="G69"/>
      <c r="H69"/>
      <c r="I69"/>
      <c r="K69" s="23">
        <v>2041</v>
      </c>
      <c r="L69" s="23">
        <f>AVERAGE('Carbon.Tax_Inputs'!K28:K57)</f>
        <v>170</v>
      </c>
    </row>
    <row r="70" spans="2:12" s="32" customFormat="1" x14ac:dyDescent="0.2">
      <c r="B70" s="3"/>
      <c r="C70" s="4"/>
      <c r="D70" s="2"/>
      <c r="E70"/>
      <c r="F70"/>
      <c r="G70"/>
      <c r="H70"/>
      <c r="I70"/>
      <c r="K70" s="23">
        <v>2042</v>
      </c>
      <c r="L70" s="23">
        <f>AVERAGE('Carbon.Tax_Inputs'!K29:K58)</f>
        <v>170</v>
      </c>
    </row>
    <row r="71" spans="2:12" s="32" customFormat="1" x14ac:dyDescent="0.2">
      <c r="B71" s="3"/>
      <c r="C71" s="4"/>
      <c r="D71" s="2"/>
      <c r="E71"/>
      <c r="F71"/>
      <c r="G71"/>
      <c r="H71"/>
      <c r="I71"/>
      <c r="K71" s="23">
        <v>2043</v>
      </c>
      <c r="L71" s="23">
        <f>AVERAGE('Carbon.Tax_Inputs'!K30:K59)</f>
        <v>170</v>
      </c>
    </row>
    <row r="72" spans="2:12" s="32" customFormat="1" x14ac:dyDescent="0.2">
      <c r="B72" s="3"/>
      <c r="C72" s="4"/>
      <c r="D72" s="2"/>
      <c r="E72"/>
      <c r="F72"/>
      <c r="G72"/>
      <c r="H72"/>
      <c r="I72"/>
      <c r="K72" s="23">
        <v>2044</v>
      </c>
      <c r="L72" s="23">
        <f>AVERAGE('Carbon.Tax_Inputs'!K31:K60)</f>
        <v>170</v>
      </c>
    </row>
    <row r="73" spans="2:12" s="32" customFormat="1" x14ac:dyDescent="0.2">
      <c r="B73" s="3"/>
      <c r="C73" s="4"/>
      <c r="D73" s="2"/>
      <c r="E73"/>
      <c r="F73"/>
      <c r="G73"/>
      <c r="H73"/>
      <c r="I73"/>
      <c r="K73" s="23">
        <v>2045</v>
      </c>
      <c r="L73" s="23">
        <f>AVERAGE('Carbon.Tax_Inputs'!K32:K61)</f>
        <v>170</v>
      </c>
    </row>
    <row r="74" spans="2:12" s="32" customFormat="1" x14ac:dyDescent="0.2">
      <c r="B74" s="3"/>
      <c r="C74" s="4"/>
      <c r="D74" s="2"/>
      <c r="E74"/>
      <c r="F74"/>
      <c r="G74"/>
      <c r="H74"/>
      <c r="I74"/>
      <c r="K74" s="23">
        <v>2046</v>
      </c>
      <c r="L74" s="23">
        <f>AVERAGE('Carbon.Tax_Inputs'!K33:K62)</f>
        <v>170</v>
      </c>
    </row>
    <row r="75" spans="2:12" s="32" customFormat="1" x14ac:dyDescent="0.2">
      <c r="B75" s="3"/>
      <c r="C75" s="4"/>
      <c r="D75" s="2"/>
      <c r="E75"/>
      <c r="F75"/>
      <c r="G75"/>
      <c r="H75"/>
      <c r="I75"/>
      <c r="K75" s="23">
        <v>2047</v>
      </c>
      <c r="L75" s="23">
        <f>AVERAGE('Carbon.Tax_Inputs'!K34:K63)</f>
        <v>170</v>
      </c>
    </row>
    <row r="76" spans="2:12" s="32" customFormat="1" x14ac:dyDescent="0.2">
      <c r="B76" s="3"/>
      <c r="C76" s="4"/>
      <c r="D76" s="2"/>
      <c r="E76"/>
      <c r="F76"/>
      <c r="G76"/>
      <c r="H76"/>
      <c r="I76"/>
      <c r="K76" s="23">
        <v>2048</v>
      </c>
      <c r="L76" s="23">
        <f>AVERAGE('Carbon.Tax_Inputs'!K35:K64)</f>
        <v>170</v>
      </c>
    </row>
    <row r="77" spans="2:12" s="32" customFormat="1" x14ac:dyDescent="0.2">
      <c r="B77" s="3"/>
      <c r="C77" s="4"/>
      <c r="D77" s="2"/>
      <c r="E77"/>
      <c r="F77"/>
      <c r="G77"/>
      <c r="H77"/>
      <c r="I77"/>
      <c r="K77" s="23">
        <v>2049</v>
      </c>
      <c r="L77" s="23">
        <f>AVERAGE('Carbon.Tax_Inputs'!K36:K65)</f>
        <v>170</v>
      </c>
    </row>
    <row r="78" spans="2:12" s="32" customFormat="1" x14ac:dyDescent="0.2">
      <c r="B78" s="3"/>
      <c r="C78" s="4"/>
      <c r="D78" s="2"/>
      <c r="E78"/>
      <c r="F78"/>
      <c r="G78"/>
      <c r="H78"/>
      <c r="I78"/>
      <c r="K78" s="23">
        <v>2050</v>
      </c>
      <c r="L78" s="23">
        <f>AVERAGE('Carbon.Tax_Inputs'!K37:K66)</f>
        <v>170</v>
      </c>
    </row>
    <row r="79" spans="2:12" s="32" customFormat="1" x14ac:dyDescent="0.2">
      <c r="B79" s="3"/>
      <c r="C79" s="4"/>
      <c r="D79" s="2"/>
      <c r="E79"/>
      <c r="F79"/>
      <c r="G79"/>
      <c r="H79"/>
      <c r="I79"/>
      <c r="K79" s="23">
        <v>2051</v>
      </c>
      <c r="L79" s="23">
        <f>AVERAGE('Carbon.Tax_Inputs'!K38:K67)</f>
        <v>170</v>
      </c>
    </row>
    <row r="80" spans="2:12" s="32" customFormat="1" x14ac:dyDescent="0.2">
      <c r="B80" s="3"/>
      <c r="C80" s="4"/>
      <c r="D80" s="2"/>
      <c r="E80"/>
      <c r="F80"/>
      <c r="G80"/>
      <c r="H80"/>
      <c r="I80"/>
      <c r="K80" s="23">
        <v>2052</v>
      </c>
      <c r="L80" s="23">
        <f>AVERAGE('Carbon.Tax_Inputs'!K39:K68)</f>
        <v>170</v>
      </c>
    </row>
    <row r="81" spans="2:12" s="32" customFormat="1" x14ac:dyDescent="0.2">
      <c r="B81" s="3"/>
      <c r="C81" s="4"/>
      <c r="D81" s="2"/>
      <c r="E81"/>
      <c r="F81"/>
      <c r="G81"/>
      <c r="H81"/>
      <c r="I81"/>
      <c r="K81" s="23">
        <v>2053</v>
      </c>
      <c r="L81" s="23">
        <f>AVERAGE('Carbon.Tax_Inputs'!K40:K68)</f>
        <v>170</v>
      </c>
    </row>
    <row r="82" spans="2:12" s="32" customFormat="1" x14ac:dyDescent="0.2">
      <c r="B82" s="3"/>
      <c r="C82" s="4"/>
      <c r="D82" s="2"/>
      <c r="E82"/>
      <c r="F82"/>
      <c r="G82"/>
      <c r="H82"/>
      <c r="I82"/>
      <c r="K82" s="23">
        <v>2054</v>
      </c>
      <c r="L82" s="23">
        <f>AVERAGE('Carbon.Tax_Inputs'!K41:K68)</f>
        <v>170</v>
      </c>
    </row>
    <row r="83" spans="2:12" s="32" customFormat="1" x14ac:dyDescent="0.2">
      <c r="B83" s="3"/>
      <c r="C83" s="4"/>
      <c r="D83" s="2"/>
      <c r="E83"/>
      <c r="F83"/>
      <c r="G83"/>
      <c r="H83"/>
      <c r="I83"/>
      <c r="K83" s="23">
        <v>2055</v>
      </c>
      <c r="L83" s="23">
        <f>AVERAGE('Carbon.Tax_Inputs'!K42:K68)</f>
        <v>170</v>
      </c>
    </row>
    <row r="84" spans="2:12" s="32" customFormat="1" x14ac:dyDescent="0.2">
      <c r="B84" s="3"/>
      <c r="C84" s="4"/>
      <c r="D84" s="2"/>
      <c r="E84"/>
      <c r="F84"/>
      <c r="G84"/>
      <c r="H84"/>
      <c r="I84"/>
      <c r="K84" s="23">
        <v>2056</v>
      </c>
      <c r="L84" s="23">
        <f>AVERAGE('Carbon.Tax_Inputs'!K43:K68)</f>
        <v>170</v>
      </c>
    </row>
    <row r="85" spans="2:12" s="32" customFormat="1" x14ac:dyDescent="0.2">
      <c r="B85" s="3"/>
      <c r="C85" s="4"/>
      <c r="D85" s="2"/>
      <c r="E85"/>
      <c r="F85"/>
      <c r="G85"/>
      <c r="H85"/>
      <c r="I85"/>
      <c r="K85" s="23">
        <v>2057</v>
      </c>
      <c r="L85" s="23">
        <f>AVERAGE('Carbon.Tax_Inputs'!K44:K68)</f>
        <v>170</v>
      </c>
    </row>
    <row r="86" spans="2:12" s="32" customFormat="1" x14ac:dyDescent="0.2">
      <c r="B86" s="3"/>
      <c r="C86" s="4"/>
      <c r="D86" s="2"/>
      <c r="E86"/>
      <c r="F86"/>
      <c r="G86"/>
      <c r="H86"/>
      <c r="I86"/>
      <c r="K86" s="23">
        <v>2058</v>
      </c>
      <c r="L86" s="23">
        <f>AVERAGE('Carbon.Tax_Inputs'!K45:K68)</f>
        <v>170</v>
      </c>
    </row>
    <row r="87" spans="2:12" s="32" customFormat="1" x14ac:dyDescent="0.2">
      <c r="B87" s="3"/>
      <c r="C87" s="4"/>
      <c r="D87" s="2"/>
      <c r="E87"/>
      <c r="F87"/>
      <c r="G87"/>
      <c r="H87"/>
      <c r="I87"/>
      <c r="K87" s="23">
        <v>2059</v>
      </c>
      <c r="L87" s="23">
        <f>AVERAGE('Carbon.Tax_Inputs'!K46:K68)</f>
        <v>170</v>
      </c>
    </row>
    <row r="88" spans="2:12" s="32" customFormat="1" x14ac:dyDescent="0.2">
      <c r="B88" s="3"/>
      <c r="C88" s="4"/>
      <c r="D88" s="2"/>
      <c r="E88"/>
      <c r="F88"/>
      <c r="G88"/>
      <c r="H88"/>
      <c r="I88"/>
      <c r="K88" s="23">
        <v>2060</v>
      </c>
      <c r="L88" s="23">
        <f>AVERAGE('Carbon.Tax_Inputs'!K47:K68)</f>
        <v>170</v>
      </c>
    </row>
    <row r="89" spans="2:12" s="32" customFormat="1" x14ac:dyDescent="0.2">
      <c r="B89" s="3"/>
      <c r="C89" s="4"/>
      <c r="D89" s="2"/>
      <c r="E89"/>
      <c r="F89"/>
      <c r="G89"/>
      <c r="H89"/>
      <c r="I89"/>
      <c r="K89" s="23">
        <v>2061</v>
      </c>
      <c r="L89" s="23">
        <f>AVERAGE('Carbon.Tax_Inputs'!K48:K68)</f>
        <v>170</v>
      </c>
    </row>
    <row r="90" spans="2:12" s="32" customFormat="1" x14ac:dyDescent="0.2">
      <c r="B90" s="3"/>
      <c r="C90" s="4"/>
      <c r="D90" s="2"/>
      <c r="E90"/>
      <c r="F90"/>
      <c r="G90"/>
      <c r="H90"/>
      <c r="I90"/>
      <c r="K90" s="23">
        <v>2062</v>
      </c>
      <c r="L90" s="23">
        <f>AVERAGE('Carbon.Tax_Inputs'!K49:K68)</f>
        <v>170</v>
      </c>
    </row>
    <row r="91" spans="2:12" s="32" customFormat="1" x14ac:dyDescent="0.2">
      <c r="B91" s="3"/>
      <c r="C91" s="4"/>
      <c r="D91" s="2"/>
      <c r="E91"/>
      <c r="F91"/>
      <c r="G91"/>
      <c r="H91"/>
      <c r="I91"/>
      <c r="K91" s="23">
        <v>2063</v>
      </c>
      <c r="L91" s="23">
        <f>AVERAGE('Carbon.Tax_Inputs'!K50:K68)</f>
        <v>170</v>
      </c>
    </row>
    <row r="92" spans="2:12" s="32" customFormat="1" x14ac:dyDescent="0.2">
      <c r="B92" s="3"/>
      <c r="C92" s="4"/>
      <c r="D92" s="2"/>
      <c r="E92"/>
      <c r="F92"/>
      <c r="G92"/>
      <c r="H92"/>
      <c r="I92"/>
      <c r="K92" s="23">
        <v>2064</v>
      </c>
      <c r="L92" s="23">
        <f>AVERAGE('Carbon.Tax_Inputs'!K51:K68)</f>
        <v>170</v>
      </c>
    </row>
    <row r="93" spans="2:12" s="32" customFormat="1" x14ac:dyDescent="0.2">
      <c r="B93" s="3"/>
      <c r="C93" s="4"/>
      <c r="D93" s="2"/>
      <c r="E93"/>
      <c r="F93"/>
      <c r="G93"/>
      <c r="H93"/>
      <c r="I93"/>
      <c r="K93" s="23">
        <v>2065</v>
      </c>
      <c r="L93" s="23">
        <f>AVERAGE('Carbon.Tax_Inputs'!K52:K68)</f>
        <v>170</v>
      </c>
    </row>
  </sheetData>
  <mergeCells count="1">
    <mergeCell ref="B3:E3"/>
  </mergeCells>
  <hyperlinks>
    <hyperlink ref="J13" r:id="rId1" display="https://atb.nrel.gov/electricity/2022/fossil_energy_technologies" xr:uid="{066E213C-AAF3-4349-BA4D-6A7118A94824}"/>
    <hyperlink ref="I37" r:id="rId2" xr:uid="{C86BF2D0-EC27-41FB-92F4-82AE00BD7A1A}"/>
  </hyperlinks>
  <pageMargins left="0.7" right="0.7" top="0.75" bottom="0.75" header="0.3" footer="0.3"/>
  <pageSetup orientation="portrait" r:id="rId3"/>
  <drawing r:id="rId4"/>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8B427-7B9E-46CA-A3C1-A6E92554BDD4}">
  <sheetPr>
    <tabColor rgb="FF003766"/>
  </sheetPr>
  <dimension ref="B8:E22"/>
  <sheetViews>
    <sheetView workbookViewId="0">
      <selection activeCell="H83" sqref="H83"/>
    </sheetView>
  </sheetViews>
  <sheetFormatPr baseColWidth="10" defaultColWidth="8.83203125" defaultRowHeight="15" x14ac:dyDescent="0.2"/>
  <cols>
    <col min="1" max="4" width="2.6640625" style="296" customWidth="1"/>
    <col min="5" max="5" width="20.6640625" style="296" customWidth="1"/>
    <col min="6" max="16384" width="8.83203125" style="296"/>
  </cols>
  <sheetData>
    <row r="8" spans="2:5" ht="16" x14ac:dyDescent="0.2">
      <c r="B8" s="305" t="s">
        <v>769</v>
      </c>
    </row>
    <row r="9" spans="2:5" ht="21" x14ac:dyDescent="0.25">
      <c r="B9" s="295" t="s">
        <v>770</v>
      </c>
    </row>
    <row r="14" spans="2:5" ht="19" x14ac:dyDescent="0.25">
      <c r="B14" s="300" t="str">
        <f>_Cover!B14</f>
        <v>Renewable Cost Forecast</v>
      </c>
    </row>
    <row r="15" spans="2:5" x14ac:dyDescent="0.2">
      <c r="B15" s="330" t="str">
        <f ca="1">HYPERLINK("#"&amp;CELL("address", _Contents!B3 ), "Go to Table of Contents")</f>
        <v>Go to Table of Contents</v>
      </c>
      <c r="C15" s="330"/>
      <c r="D15" s="330"/>
      <c r="E15" s="330"/>
    </row>
    <row r="22" spans="2:2" x14ac:dyDescent="0.2">
      <c r="B22" s="298" t="s">
        <v>4</v>
      </c>
    </row>
  </sheetData>
  <mergeCells count="1">
    <mergeCell ref="B15:E15"/>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C2F42-281F-4206-B777-268EDFD5ADB5}">
  <dimension ref="B1:X58"/>
  <sheetViews>
    <sheetView topLeftCell="A6" workbookViewId="0">
      <selection activeCell="K24" sqref="K24"/>
    </sheetView>
  </sheetViews>
  <sheetFormatPr baseColWidth="10" defaultColWidth="8.83203125" defaultRowHeight="16" x14ac:dyDescent="0.2"/>
  <cols>
    <col min="1" max="1" width="2.6640625" customWidth="1"/>
    <col min="2" max="2" width="2.6640625" style="3" customWidth="1"/>
    <col min="3" max="3" width="2.6640625" style="4" customWidth="1"/>
    <col min="4" max="4" width="2.6640625" style="2" customWidth="1"/>
    <col min="5" max="5" width="20.6640625" customWidth="1"/>
    <col min="6" max="9" width="2.6640625" style="32" customWidth="1"/>
    <col min="10" max="10" width="18.83203125" style="23" bestFit="1" customWidth="1"/>
    <col min="11" max="13" width="12.83203125" style="23" customWidth="1"/>
    <col min="14" max="15" width="10.1640625" bestFit="1" customWidth="1"/>
  </cols>
  <sheetData>
    <row r="1" spans="2:24" ht="21" x14ac:dyDescent="0.25">
      <c r="B1" s="5" t="s">
        <v>771</v>
      </c>
    </row>
    <row r="2" spans="2:24" ht="19" x14ac:dyDescent="0.25">
      <c r="B2" s="1" t="str">
        <f>_Cover!B14</f>
        <v>Renewable Cost Forecast</v>
      </c>
    </row>
    <row r="3" spans="2:24" ht="15" x14ac:dyDescent="0.2">
      <c r="B3" s="331" t="str">
        <f ca="1">HYPERLINK("#"&amp;CELL("address", _Contents!B3 ), "Go to Table of Contents")</f>
        <v>Go to Table of Contents</v>
      </c>
      <c r="C3" s="331"/>
      <c r="D3" s="331"/>
      <c r="E3" s="331"/>
    </row>
    <row r="8" spans="2:24" x14ac:dyDescent="0.2">
      <c r="I8" s="52" t="s">
        <v>772</v>
      </c>
    </row>
    <row r="9" spans="2:24" x14ac:dyDescent="0.2">
      <c r="I9" s="52"/>
      <c r="J9" s="316" t="s">
        <v>24</v>
      </c>
      <c r="K9" s="316" t="s">
        <v>445</v>
      </c>
      <c r="L9" s="316" t="s">
        <v>446</v>
      </c>
    </row>
    <row r="10" spans="2:24" x14ac:dyDescent="0.2">
      <c r="J10" s="317">
        <v>2015</v>
      </c>
      <c r="K10" s="318">
        <v>237.017</v>
      </c>
      <c r="L10" s="318">
        <v>126.6</v>
      </c>
      <c r="T10" s="285"/>
      <c r="U10" s="285"/>
      <c r="X10" s="285"/>
    </row>
    <row r="11" spans="2:24" x14ac:dyDescent="0.2">
      <c r="J11" s="317">
        <v>2016</v>
      </c>
      <c r="K11" s="318">
        <v>240.011</v>
      </c>
      <c r="L11" s="318">
        <v>128.4</v>
      </c>
      <c r="U11" s="285"/>
      <c r="V11" s="286"/>
      <c r="X11" s="285"/>
    </row>
    <row r="12" spans="2:24" x14ac:dyDescent="0.2">
      <c r="J12" s="317">
        <v>2017</v>
      </c>
      <c r="K12" s="318">
        <v>245.12</v>
      </c>
      <c r="L12" s="318">
        <v>130.4</v>
      </c>
      <c r="U12" s="285"/>
      <c r="V12" s="286"/>
      <c r="X12" s="285"/>
    </row>
    <row r="13" spans="2:24" x14ac:dyDescent="0.2">
      <c r="J13" s="317">
        <v>2018</v>
      </c>
      <c r="K13" s="318">
        <v>251.107</v>
      </c>
      <c r="L13" s="318">
        <v>133.4</v>
      </c>
      <c r="U13" s="285"/>
      <c r="V13" s="286"/>
      <c r="X13" s="285"/>
    </row>
    <row r="14" spans="2:24" x14ac:dyDescent="0.2">
      <c r="J14" s="317">
        <v>2019</v>
      </c>
      <c r="K14" s="318">
        <v>255.65700000000001</v>
      </c>
      <c r="L14" s="318">
        <v>136</v>
      </c>
      <c r="U14" s="285"/>
      <c r="V14" s="286"/>
      <c r="X14" s="285"/>
    </row>
    <row r="15" spans="2:24" x14ac:dyDescent="0.2">
      <c r="J15" s="317">
        <v>2020</v>
      </c>
      <c r="K15" s="318">
        <v>258.81099999999998</v>
      </c>
      <c r="L15" s="318">
        <v>137</v>
      </c>
      <c r="U15" s="285"/>
      <c r="V15" s="286"/>
      <c r="X15" s="285"/>
    </row>
    <row r="16" spans="2:24" x14ac:dyDescent="0.2">
      <c r="J16" s="317">
        <v>2021</v>
      </c>
      <c r="K16" s="318">
        <v>270.97000000000003</v>
      </c>
      <c r="L16" s="318">
        <v>141.6</v>
      </c>
      <c r="U16" s="285"/>
      <c r="X16" s="285"/>
    </row>
    <row r="17" spans="6:24" x14ac:dyDescent="0.2">
      <c r="J17" s="317">
        <v>2022</v>
      </c>
      <c r="K17" s="318">
        <v>272.66985714285875</v>
      </c>
      <c r="L17" s="318" cm="1">
        <f t="array" ref="L17">TREND(L10:L16,J10:J16,J17)</f>
        <v>143.02857142857101</v>
      </c>
      <c r="X17" s="285"/>
    </row>
    <row r="19" spans="6:24" x14ac:dyDescent="0.2">
      <c r="J19" s="319" t="s">
        <v>773</v>
      </c>
      <c r="K19" s="317">
        <v>1.3</v>
      </c>
    </row>
    <row r="23" spans="6:24" x14ac:dyDescent="0.2">
      <c r="I23" s="52" t="s">
        <v>774</v>
      </c>
    </row>
    <row r="24" spans="6:24" x14ac:dyDescent="0.2">
      <c r="K24" s="22" t="s">
        <v>446</v>
      </c>
      <c r="L24" s="22" t="s">
        <v>498</v>
      </c>
      <c r="M24" s="22" t="s">
        <v>9</v>
      </c>
      <c r="N24" s="23"/>
    </row>
    <row r="25" spans="6:24" x14ac:dyDescent="0.2">
      <c r="J25" s="322" t="s">
        <v>775</v>
      </c>
      <c r="K25" s="323">
        <v>0.05</v>
      </c>
      <c r="L25" s="323">
        <v>0.05</v>
      </c>
      <c r="M25" s="323">
        <v>0.13</v>
      </c>
      <c r="N25" s="23"/>
    </row>
    <row r="26" spans="6:24" x14ac:dyDescent="0.2">
      <c r="I26" s="34"/>
      <c r="J26" s="324" t="s">
        <v>117</v>
      </c>
      <c r="K26" s="323">
        <v>0.15</v>
      </c>
      <c r="L26" s="323">
        <v>0.22</v>
      </c>
      <c r="M26" s="323">
        <v>0.2</v>
      </c>
    </row>
    <row r="27" spans="6:24" x14ac:dyDescent="0.2">
      <c r="I27" s="34"/>
      <c r="J27" s="324" t="s">
        <v>205</v>
      </c>
      <c r="K27" s="323">
        <v>0.35</v>
      </c>
      <c r="L27" s="323">
        <v>0.35</v>
      </c>
      <c r="M27" s="323">
        <v>0.4</v>
      </c>
    </row>
    <row r="28" spans="6:24" x14ac:dyDescent="0.2">
      <c r="F28"/>
      <c r="G28"/>
      <c r="H28"/>
      <c r="I28"/>
      <c r="J28"/>
      <c r="K28"/>
      <c r="L28"/>
      <c r="M28"/>
    </row>
    <row r="29" spans="6:24" x14ac:dyDescent="0.2">
      <c r="I29" s="34"/>
      <c r="J29" s="324" t="s">
        <v>776</v>
      </c>
      <c r="K29" s="325">
        <v>5.0000000000000001E-3</v>
      </c>
      <c r="L29" s="325">
        <v>5.0000000000000001E-3</v>
      </c>
      <c r="M29" s="325">
        <v>5.0000000000000001E-3</v>
      </c>
    </row>
    <row r="30" spans="6:24" x14ac:dyDescent="0.2">
      <c r="I30" s="34"/>
      <c r="J30" s="41"/>
      <c r="K30" s="41"/>
      <c r="L30" s="41"/>
    </row>
    <row r="31" spans="6:24" x14ac:dyDescent="0.2">
      <c r="J31" s="32"/>
    </row>
    <row r="32" spans="6:24" x14ac:dyDescent="0.2">
      <c r="I32" s="52" t="s">
        <v>777</v>
      </c>
      <c r="J32" s="320"/>
      <c r="K32" s="316">
        <v>2022</v>
      </c>
      <c r="L32" s="316">
        <v>2023</v>
      </c>
      <c r="M32" s="316">
        <v>2024</v>
      </c>
      <c r="N32" s="316">
        <v>2025</v>
      </c>
      <c r="O32" s="316">
        <v>2026</v>
      </c>
      <c r="P32" s="316">
        <v>2027</v>
      </c>
      <c r="Q32" s="316">
        <v>2028</v>
      </c>
      <c r="R32" s="316">
        <v>2029</v>
      </c>
      <c r="S32" s="316">
        <v>2030</v>
      </c>
      <c r="T32" s="316">
        <v>2031</v>
      </c>
      <c r="U32" s="316">
        <v>2032</v>
      </c>
      <c r="V32" s="316">
        <v>2033</v>
      </c>
      <c r="W32" s="316">
        <v>2034</v>
      </c>
      <c r="X32" s="316">
        <v>2035</v>
      </c>
    </row>
    <row r="33" spans="6:24" x14ac:dyDescent="0.2">
      <c r="J33" s="320" t="s">
        <v>778</v>
      </c>
      <c r="K33" s="321">
        <v>0.3</v>
      </c>
      <c r="L33" s="321">
        <v>0.3</v>
      </c>
      <c r="M33" s="321">
        <v>0.3</v>
      </c>
      <c r="N33" s="321">
        <v>0.3</v>
      </c>
      <c r="O33" s="321">
        <v>0.3</v>
      </c>
      <c r="P33" s="321">
        <v>0.3</v>
      </c>
      <c r="Q33" s="321">
        <v>0.3</v>
      </c>
      <c r="R33" s="321">
        <v>0.3</v>
      </c>
      <c r="S33" s="321">
        <v>0.3</v>
      </c>
      <c r="T33" s="321">
        <v>0.3</v>
      </c>
      <c r="U33" s="321">
        <v>0.3</v>
      </c>
      <c r="V33" s="321">
        <v>0.3</v>
      </c>
      <c r="W33" s="321">
        <v>0.3</v>
      </c>
      <c r="X33" s="321">
        <v>0.3</v>
      </c>
    </row>
    <row r="34" spans="6:24" x14ac:dyDescent="0.2">
      <c r="J34" s="320" t="s">
        <v>779</v>
      </c>
      <c r="K34" s="321">
        <v>0.3</v>
      </c>
      <c r="L34" s="321">
        <v>0.3</v>
      </c>
      <c r="M34" s="321">
        <v>0.3</v>
      </c>
      <c r="N34" s="321">
        <v>0.3</v>
      </c>
      <c r="O34" s="321">
        <v>0.3</v>
      </c>
      <c r="P34" s="321">
        <v>0.3</v>
      </c>
      <c r="Q34" s="321">
        <v>0.3</v>
      </c>
      <c r="R34" s="321">
        <v>0.3</v>
      </c>
      <c r="S34" s="321">
        <v>0.3</v>
      </c>
      <c r="T34" s="321">
        <v>0.3</v>
      </c>
      <c r="U34" s="321">
        <v>0.3</v>
      </c>
      <c r="V34" s="321">
        <v>0.3</v>
      </c>
      <c r="W34" s="321">
        <v>0.3</v>
      </c>
      <c r="X34" s="321">
        <v>0.3</v>
      </c>
    </row>
    <row r="35" spans="6:24" x14ac:dyDescent="0.2">
      <c r="I35" s="52"/>
      <c r="J35" s="320" t="s">
        <v>66</v>
      </c>
      <c r="K35" s="321">
        <v>0</v>
      </c>
      <c r="L35" s="321">
        <v>0</v>
      </c>
      <c r="M35" s="321">
        <v>0</v>
      </c>
      <c r="N35" s="321">
        <v>0</v>
      </c>
      <c r="O35" s="321">
        <v>0</v>
      </c>
      <c r="P35" s="321">
        <v>0</v>
      </c>
      <c r="Q35" s="321">
        <v>0</v>
      </c>
      <c r="R35" s="321">
        <v>0</v>
      </c>
      <c r="S35" s="321">
        <v>0</v>
      </c>
      <c r="T35" s="321">
        <v>0</v>
      </c>
      <c r="U35" s="321">
        <v>0</v>
      </c>
      <c r="V35" s="321">
        <v>0</v>
      </c>
      <c r="W35" s="321">
        <v>0</v>
      </c>
      <c r="X35" s="321">
        <v>0</v>
      </c>
    </row>
    <row r="36" spans="6:24" x14ac:dyDescent="0.2">
      <c r="J36" s="32"/>
      <c r="K36" s="22"/>
      <c r="L36" s="22"/>
    </row>
    <row r="37" spans="6:24" x14ac:dyDescent="0.2">
      <c r="I37" s="34"/>
      <c r="J37" s="32"/>
      <c r="K37" s="38"/>
      <c r="L37" s="38"/>
    </row>
    <row r="38" spans="6:24" x14ac:dyDescent="0.2">
      <c r="I38" s="37"/>
      <c r="J38" s="32"/>
      <c r="K38" s="47"/>
      <c r="L38" s="47"/>
    </row>
    <row r="39" spans="6:24" x14ac:dyDescent="0.2">
      <c r="I39" s="37"/>
      <c r="J39" s="32"/>
      <c r="K39" s="47"/>
      <c r="L39" s="47"/>
    </row>
    <row r="40" spans="6:24" x14ac:dyDescent="0.2">
      <c r="I40" s="37"/>
      <c r="J40" s="32"/>
      <c r="K40" s="47"/>
      <c r="L40" s="47"/>
    </row>
    <row r="41" spans="6:24" x14ac:dyDescent="0.2">
      <c r="I41" s="37"/>
      <c r="J41" s="32"/>
      <c r="K41" s="47"/>
      <c r="L41" s="47"/>
    </row>
    <row r="42" spans="6:24" x14ac:dyDescent="0.2">
      <c r="I42" s="37"/>
      <c r="J42" s="32"/>
      <c r="K42" s="47"/>
      <c r="L42" s="46"/>
    </row>
    <row r="43" spans="6:24" x14ac:dyDescent="0.2">
      <c r="I43" s="37"/>
      <c r="J43" s="32"/>
      <c r="K43" s="47"/>
      <c r="L43" s="46"/>
    </row>
    <row r="44" spans="6:24" x14ac:dyDescent="0.2">
      <c r="F44"/>
      <c r="G44"/>
      <c r="H44"/>
      <c r="I44"/>
      <c r="J44"/>
      <c r="K44"/>
      <c r="L44"/>
      <c r="M44"/>
    </row>
    <row r="45" spans="6:24" x14ac:dyDescent="0.2">
      <c r="F45"/>
      <c r="G45"/>
      <c r="H45"/>
      <c r="I45"/>
      <c r="J45"/>
      <c r="K45"/>
      <c r="L45"/>
      <c r="M45"/>
    </row>
    <row r="46" spans="6:24" x14ac:dyDescent="0.2">
      <c r="F46"/>
      <c r="G46"/>
      <c r="H46"/>
      <c r="I46"/>
      <c r="J46"/>
      <c r="K46"/>
      <c r="L46"/>
      <c r="M46"/>
    </row>
    <row r="47" spans="6:24" x14ac:dyDescent="0.2">
      <c r="F47"/>
      <c r="G47"/>
      <c r="H47"/>
      <c r="I47"/>
      <c r="J47"/>
      <c r="K47"/>
      <c r="L47"/>
      <c r="M47"/>
    </row>
    <row r="48" spans="6:24" x14ac:dyDescent="0.2">
      <c r="F48"/>
      <c r="G48"/>
      <c r="H48"/>
      <c r="I48"/>
      <c r="J48"/>
      <c r="K48"/>
      <c r="L48"/>
      <c r="M48"/>
    </row>
    <row r="49" spans="6:13" x14ac:dyDescent="0.2">
      <c r="F49"/>
      <c r="G49"/>
      <c r="H49"/>
      <c r="I49"/>
      <c r="J49"/>
      <c r="K49"/>
      <c r="L49"/>
      <c r="M49"/>
    </row>
    <row r="50" spans="6:13" x14ac:dyDescent="0.2">
      <c r="F50"/>
      <c r="G50"/>
      <c r="H50"/>
      <c r="I50"/>
      <c r="J50"/>
      <c r="K50"/>
      <c r="L50"/>
      <c r="M50"/>
    </row>
    <row r="51" spans="6:13" x14ac:dyDescent="0.2">
      <c r="F51"/>
      <c r="G51"/>
      <c r="H51"/>
      <c r="I51"/>
      <c r="J51"/>
      <c r="K51"/>
      <c r="L51"/>
      <c r="M51"/>
    </row>
    <row r="52" spans="6:13" x14ac:dyDescent="0.2">
      <c r="I52" s="37"/>
      <c r="J52" s="32"/>
      <c r="K52" s="47"/>
      <c r="L52" s="46"/>
    </row>
    <row r="53" spans="6:13" x14ac:dyDescent="0.2">
      <c r="I53" s="34"/>
      <c r="J53" s="47"/>
      <c r="K53" s="47"/>
      <c r="L53" s="47"/>
    </row>
    <row r="54" spans="6:13" x14ac:dyDescent="0.2">
      <c r="I54" s="34"/>
      <c r="J54" s="47"/>
      <c r="K54" s="47"/>
      <c r="L54" s="47"/>
    </row>
    <row r="55" spans="6:13" x14ac:dyDescent="0.2">
      <c r="I55" s="34"/>
      <c r="J55" s="47"/>
      <c r="K55" s="47"/>
      <c r="L55" s="47"/>
    </row>
    <row r="56" spans="6:13" x14ac:dyDescent="0.2">
      <c r="I56" s="34"/>
      <c r="J56" s="47"/>
      <c r="K56" s="47"/>
      <c r="L56" s="47"/>
    </row>
    <row r="57" spans="6:13" x14ac:dyDescent="0.2">
      <c r="I57" s="34"/>
      <c r="J57" s="35"/>
      <c r="K57" s="35"/>
      <c r="L57" s="35"/>
    </row>
    <row r="58" spans="6:13" x14ac:dyDescent="0.2">
      <c r="I58" s="34"/>
      <c r="J58" s="41"/>
      <c r="K58" s="41"/>
      <c r="L58" s="41"/>
    </row>
  </sheetData>
  <mergeCells count="1">
    <mergeCell ref="B3:E3"/>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37BE9-B031-435F-B54D-CFFDDF1CF80F}">
  <dimension ref="B1:AG85"/>
  <sheetViews>
    <sheetView workbookViewId="0">
      <selection activeCell="F6" sqref="F6"/>
    </sheetView>
  </sheetViews>
  <sheetFormatPr baseColWidth="10" defaultColWidth="8.83203125" defaultRowHeight="16" x14ac:dyDescent="0.2"/>
  <cols>
    <col min="1" max="1" width="2.6640625" style="220" customWidth="1"/>
    <col min="2" max="2" width="2.6640625" style="223" customWidth="1"/>
    <col min="3" max="3" width="2.6640625" style="218" customWidth="1"/>
    <col min="4" max="4" width="2.6640625" style="219" customWidth="1"/>
    <col min="5" max="5" width="20.6640625" style="220" customWidth="1"/>
    <col min="6" max="6" width="7" style="221" bestFit="1" customWidth="1"/>
    <col min="7" max="7" width="3.1640625" style="221" customWidth="1"/>
    <col min="8" max="8" width="7" style="221" customWidth="1"/>
    <col min="9" max="12" width="2.6640625" style="221" customWidth="1"/>
    <col min="13" max="13" width="13.1640625" style="221" bestFit="1" customWidth="1"/>
    <col min="14" max="27" width="10.6640625" style="221" customWidth="1"/>
    <col min="28" max="31" width="2.6640625" style="221" customWidth="1"/>
    <col min="32" max="33" width="9.1640625" style="221" customWidth="1"/>
    <col min="34" max="16384" width="8.83203125" style="220"/>
  </cols>
  <sheetData>
    <row r="1" spans="2:9" ht="21" x14ac:dyDescent="0.25">
      <c r="B1" s="217" t="s">
        <v>7</v>
      </c>
    </row>
    <row r="2" spans="2:9" ht="19" x14ac:dyDescent="0.25">
      <c r="B2" s="222" t="str">
        <f>_Cover!B14</f>
        <v>Renewable Cost Forecast</v>
      </c>
    </row>
    <row r="3" spans="2:9" ht="15" x14ac:dyDescent="0.2">
      <c r="B3" s="333" t="str">
        <f ca="1">HYPERLINK("#"&amp;CELL("address", _Contents!B3 ), "Go to Table of Contents")</f>
        <v>Go to Table of Contents</v>
      </c>
      <c r="C3" s="333"/>
      <c r="D3" s="333"/>
      <c r="E3" s="333"/>
    </row>
    <row r="6" spans="2:9" x14ac:dyDescent="0.2">
      <c r="E6" s="241" t="s">
        <v>8</v>
      </c>
      <c r="F6" s="240" t="s">
        <v>9</v>
      </c>
      <c r="G6" s="280"/>
      <c r="H6" s="280" t="s">
        <v>10</v>
      </c>
    </row>
    <row r="7" spans="2:9" x14ac:dyDescent="0.2">
      <c r="E7" s="241" t="s">
        <v>11</v>
      </c>
      <c r="F7" s="242">
        <v>0.03</v>
      </c>
      <c r="G7" s="242"/>
      <c r="H7" s="280" t="s">
        <v>12</v>
      </c>
      <c r="I7" s="242"/>
    </row>
    <row r="8" spans="2:9" x14ac:dyDescent="0.2">
      <c r="E8" s="241" t="s">
        <v>13</v>
      </c>
      <c r="F8" s="240" t="s">
        <v>14</v>
      </c>
      <c r="G8" s="240"/>
      <c r="H8" s="280" t="s">
        <v>10</v>
      </c>
    </row>
    <row r="10" spans="2:9" x14ac:dyDescent="0.2">
      <c r="E10" s="241" t="s">
        <v>15</v>
      </c>
      <c r="F10" s="240">
        <v>8</v>
      </c>
      <c r="H10" s="280" t="s">
        <v>10</v>
      </c>
    </row>
    <row r="11" spans="2:9" x14ac:dyDescent="0.2">
      <c r="E11" s="241" t="s">
        <v>16</v>
      </c>
      <c r="F11" s="242">
        <v>0.06</v>
      </c>
      <c r="H11" s="280" t="s">
        <v>12</v>
      </c>
    </row>
    <row r="12" spans="2:9" x14ac:dyDescent="0.2">
      <c r="E12" s="241" t="s">
        <v>17</v>
      </c>
      <c r="F12" s="240">
        <v>7</v>
      </c>
      <c r="H12" s="280" t="s">
        <v>12</v>
      </c>
    </row>
    <row r="13" spans="2:9" x14ac:dyDescent="0.2">
      <c r="E13" s="241" t="s">
        <v>18</v>
      </c>
      <c r="F13" s="242">
        <v>0.3</v>
      </c>
      <c r="H13" s="280" t="s">
        <v>12</v>
      </c>
    </row>
    <row r="25" spans="12:33" x14ac:dyDescent="0.2">
      <c r="L25" s="279" t="str">
        <f>selected.location&amp;" Installed Capex (CA$2022/kW)"&amp;IF(ITC.toggle="Yes"," (ITC)","")</f>
        <v>Ontario Installed Capex (CA$2022/kW)</v>
      </c>
      <c r="N25" s="224">
        <v>2022</v>
      </c>
      <c r="O25" s="224">
        <v>2023</v>
      </c>
      <c r="P25" s="224">
        <v>2024</v>
      </c>
      <c r="Q25" s="224">
        <v>2025</v>
      </c>
      <c r="R25" s="224">
        <v>2026</v>
      </c>
      <c r="S25" s="224">
        <v>2027</v>
      </c>
      <c r="T25" s="224">
        <v>2028</v>
      </c>
      <c r="U25" s="224">
        <v>2029</v>
      </c>
      <c r="V25" s="224">
        <v>2030</v>
      </c>
      <c r="W25" s="224">
        <v>2031</v>
      </c>
      <c r="X25" s="224">
        <v>2032</v>
      </c>
      <c r="Y25" s="224">
        <v>2033</v>
      </c>
      <c r="Z25" s="224">
        <v>2034</v>
      </c>
      <c r="AA25" s="224">
        <v>2035</v>
      </c>
    </row>
    <row r="26" spans="12:33" x14ac:dyDescent="0.2">
      <c r="M26" s="229" t="str">
        <f>"Wind"</f>
        <v>Wind</v>
      </c>
      <c r="N26" s="225" cm="1">
        <f t="array" ref="N26:AA26">_xlfn.ANCHORARRAY(Wind.Costs!K7)</f>
        <v>2005.6968432298672</v>
      </c>
      <c r="O26" s="225">
        <v>1955.1678847441244</v>
      </c>
      <c r="P26" s="225">
        <v>1901.6310064283089</v>
      </c>
      <c r="Q26" s="225">
        <v>1844.2161260273269</v>
      </c>
      <c r="R26" s="225">
        <v>1782.0768551253848</v>
      </c>
      <c r="S26" s="225">
        <v>1749.4175821849865</v>
      </c>
      <c r="T26" s="225">
        <v>1711.9258085455492</v>
      </c>
      <c r="U26" s="225">
        <v>1668.8915480631126</v>
      </c>
      <c r="V26" s="225">
        <v>1619.7152920118656</v>
      </c>
      <c r="W26" s="225">
        <v>1563.9474838206327</v>
      </c>
      <c r="X26" s="225">
        <v>1538.8593395275416</v>
      </c>
      <c r="Y26" s="225">
        <v>1469.489948244066</v>
      </c>
      <c r="Z26" s="225">
        <v>1431.8710468849861</v>
      </c>
      <c r="AA26" s="225">
        <v>1355.824227631364</v>
      </c>
    </row>
    <row r="27" spans="12:33" x14ac:dyDescent="0.2">
      <c r="M27" s="229" t="str">
        <f>"Solar"</f>
        <v>Solar</v>
      </c>
      <c r="N27" s="225" cm="1">
        <f t="array" ref="N27:AA27">_xlfn.ANCHORARRAY(Solar.Costs!K7)</f>
        <v>1679.1485206606064</v>
      </c>
      <c r="O27" s="225">
        <v>1547.8193294020814</v>
      </c>
      <c r="P27" s="225">
        <v>1473.5170095029735</v>
      </c>
      <c r="Q27" s="225">
        <v>1423.0541872038846</v>
      </c>
      <c r="R27" s="225">
        <v>1385.7926611492744</v>
      </c>
      <c r="S27" s="225">
        <v>1356.9388409444252</v>
      </c>
      <c r="T27" s="225">
        <v>1333.9202527662219</v>
      </c>
      <c r="U27" s="225">
        <v>1315.1971349840612</v>
      </c>
      <c r="V27" s="225">
        <v>1299.7757269822241</v>
      </c>
      <c r="W27" s="225">
        <v>1286.9781653807593</v>
      </c>
      <c r="X27" s="225">
        <v>1276.3220396401146</v>
      </c>
      <c r="Y27" s="225">
        <v>1267.4523369960866</v>
      </c>
      <c r="Z27" s="225">
        <v>1260.1006201616863</v>
      </c>
      <c r="AA27" s="225">
        <v>1254.0593329238075</v>
      </c>
    </row>
    <row r="28" spans="12:33" x14ac:dyDescent="0.2">
      <c r="M28" s="229" t="str">
        <f>"Energy Storage ("&amp;es.selected.duration&amp;"hr)"</f>
        <v>Energy Storage (8hr)</v>
      </c>
      <c r="N28" s="225" cm="1">
        <f t="array" ref="N28:AA28">_xlfn.ANCHORARRAY(ES.Costs!K8)</f>
        <v>5224.6783366497402</v>
      </c>
      <c r="O28" s="225">
        <v>4810.3303094746025</v>
      </c>
      <c r="P28" s="225">
        <v>4500.643096885934</v>
      </c>
      <c r="Q28" s="225">
        <v>4251.0268799937367</v>
      </c>
      <c r="R28" s="225">
        <v>4041.506419519038</v>
      </c>
      <c r="S28" s="225">
        <v>3861.0534419044725</v>
      </c>
      <c r="T28" s="225">
        <v>3702.8048782527853</v>
      </c>
      <c r="U28" s="225">
        <v>3562.1417902343474</v>
      </c>
      <c r="V28" s="225">
        <v>3435.7796611753215</v>
      </c>
      <c r="W28" s="225">
        <v>3321.285979997815</v>
      </c>
      <c r="X28" s="225">
        <v>3216.8021761045989</v>
      </c>
      <c r="Y28" s="225">
        <v>3120.8727526443486</v>
      </c>
      <c r="Z28" s="225">
        <v>3032.3348487884718</v>
      </c>
      <c r="AA28" s="225">
        <v>2915.6699152516153</v>
      </c>
    </row>
    <row r="29" spans="12:33" x14ac:dyDescent="0.2">
      <c r="M29" s="229" t="str">
        <f>"Solar + ES ("&amp;es.selected.duration&amp;"hr)"</f>
        <v>Solar + ES (8hr)</v>
      </c>
      <c r="N29" s="226" cm="1">
        <f t="array" ref="N29:AA29">_xlfn.ANCHORARRAY(Solar_ES.Costs!K7)</f>
        <v>5547.4278129470131</v>
      </c>
      <c r="O29" s="226">
        <v>5131.8996615358155</v>
      </c>
      <c r="P29" s="226">
        <v>4841.253984747259</v>
      </c>
      <c r="Q29" s="226">
        <v>4613.3145840793959</v>
      </c>
      <c r="R29" s="226">
        <v>4424.6716615827727</v>
      </c>
      <c r="S29" s="226">
        <v>4284.139591655211</v>
      </c>
      <c r="T29" s="226">
        <v>4162.8560756548613</v>
      </c>
      <c r="U29" s="226">
        <v>4056.4547530205982</v>
      </c>
      <c r="V29" s="226">
        <v>3961.9383575832203</v>
      </c>
      <c r="W29" s="226">
        <v>3877.1487203043462</v>
      </c>
      <c r="X29" s="226">
        <v>3800.474351167943</v>
      </c>
      <c r="Y29" s="226">
        <v>3730.6771333104139</v>
      </c>
      <c r="Z29" s="226">
        <v>3666.7836949244956</v>
      </c>
      <c r="AA29" s="226">
        <v>3588.4988447812225</v>
      </c>
      <c r="AG29" s="226"/>
    </row>
    <row r="30" spans="12:33" x14ac:dyDescent="0.2">
      <c r="M30" s="229" t="str">
        <f>"Wind + ES ("&amp;es.selected.duration&amp;"hr)"</f>
        <v>Wind + ES (8hr)</v>
      </c>
      <c r="N30" s="226" cm="1">
        <f t="array" ref="N30:AA30">Wind_ES.Costs!wind.total.capex_CADperkW</f>
        <v>5315.9385958670418</v>
      </c>
      <c r="O30" s="226">
        <v>5040.6991692439715</v>
      </c>
      <c r="P30" s="226">
        <v>4813.78097002089</v>
      </c>
      <c r="Q30" s="226">
        <v>4613.3271605571881</v>
      </c>
      <c r="R30" s="226">
        <v>4428.8486504569983</v>
      </c>
      <c r="S30" s="226">
        <v>4309.7738635799387</v>
      </c>
      <c r="T30" s="226">
        <v>4196.4655389598311</v>
      </c>
      <c r="U30" s="226">
        <v>4086.0183880360792</v>
      </c>
      <c r="V30" s="226">
        <v>3976.2691078753201</v>
      </c>
      <c r="W30" s="226">
        <v>3865.6084674274507</v>
      </c>
      <c r="X30" s="226">
        <v>3790.4207134117837</v>
      </c>
      <c r="Y30" s="226">
        <v>3675.0497515055818</v>
      </c>
      <c r="Z30" s="226">
        <v>3594.9715323987098</v>
      </c>
      <c r="AA30" s="226">
        <v>3463.188280550808</v>
      </c>
      <c r="AG30" s="226"/>
    </row>
    <row r="31" spans="12:33" x14ac:dyDescent="0.2">
      <c r="M31" s="229" t="s">
        <v>19</v>
      </c>
      <c r="N31" s="226" cm="1">
        <f t="array" ref="N31:AA31">'Gas.Peaker.Costs'!K7:X7</f>
        <v>1571.5777714786063</v>
      </c>
      <c r="O31" s="226">
        <v>1557.563702178797</v>
      </c>
      <c r="P31" s="226">
        <v>1521.5275239792877</v>
      </c>
      <c r="Q31" s="226">
        <v>1493.4993853796695</v>
      </c>
      <c r="R31" s="226">
        <v>1477.4833061798868</v>
      </c>
      <c r="S31" s="226">
        <v>1457.4632071801595</v>
      </c>
      <c r="T31" s="226">
        <v>1445.4511477803235</v>
      </c>
      <c r="U31" s="226">
        <v>1433.4390883804867</v>
      </c>
      <c r="V31" s="226">
        <v>1425.4310487805963</v>
      </c>
      <c r="W31" s="226">
        <v>1415.4209992807318</v>
      </c>
      <c r="X31" s="226">
        <v>1407.4129596808409</v>
      </c>
      <c r="Y31" s="226">
        <v>1399.4049200809502</v>
      </c>
      <c r="Z31" s="226">
        <v>1393.3988903810321</v>
      </c>
      <c r="AA31" s="226">
        <v>1385.3908507811409</v>
      </c>
    </row>
    <row r="32" spans="12:33" x14ac:dyDescent="0.2">
      <c r="M32" s="229" t="s">
        <v>20</v>
      </c>
      <c r="N32" s="226" cm="1">
        <f t="array" ref="N32:AA32">_xlfn.ANCHORARRAY('CCGT.Costs'!K7)</f>
        <v>1816.6839759791653</v>
      </c>
      <c r="O32" s="226">
        <v>1806.3969772476867</v>
      </c>
      <c r="P32" s="226">
        <v>1781.7081802921375</v>
      </c>
      <c r="Q32" s="226">
        <v>1765.2489823217716</v>
      </c>
      <c r="R32" s="226">
        <v>1752.9045838439968</v>
      </c>
      <c r="S32" s="226">
        <v>1738.502785619926</v>
      </c>
      <c r="T32" s="226">
        <v>1728.2157868884474</v>
      </c>
      <c r="U32" s="226">
        <v>1717.9287881569683</v>
      </c>
      <c r="V32" s="226">
        <v>1711.7565889180812</v>
      </c>
      <c r="W32" s="226">
        <v>1701.4695901866025</v>
      </c>
      <c r="X32" s="226">
        <v>1695.297390947715</v>
      </c>
      <c r="Y32" s="226">
        <v>1687.0677919625318</v>
      </c>
      <c r="Z32" s="226">
        <v>1680.8955927236445</v>
      </c>
      <c r="AA32" s="226">
        <v>1672.6659937384618</v>
      </c>
    </row>
    <row r="33" spans="12:27" x14ac:dyDescent="0.2">
      <c r="M33" s="229"/>
    </row>
    <row r="34" spans="12:27" x14ac:dyDescent="0.2">
      <c r="L34" s="279" t="str">
        <f>selected.location&amp;" OPEX (CA$2022/kW-yr)"</f>
        <v>Ontario OPEX (CA$2022/kW-yr)</v>
      </c>
      <c r="M34" s="229"/>
      <c r="N34" s="224">
        <v>2022</v>
      </c>
      <c r="O34" s="224">
        <v>2023</v>
      </c>
      <c r="P34" s="224">
        <v>2024</v>
      </c>
      <c r="Q34" s="224">
        <v>2025</v>
      </c>
      <c r="R34" s="224">
        <v>2026</v>
      </c>
      <c r="S34" s="224">
        <v>2027</v>
      </c>
      <c r="T34" s="224">
        <v>2028</v>
      </c>
      <c r="U34" s="224">
        <v>2029</v>
      </c>
      <c r="V34" s="224">
        <v>2030</v>
      </c>
      <c r="W34" s="224">
        <v>2031</v>
      </c>
      <c r="X34" s="224">
        <v>2032</v>
      </c>
      <c r="Y34" s="224">
        <v>2033</v>
      </c>
      <c r="Z34" s="224">
        <v>2034</v>
      </c>
      <c r="AA34" s="224">
        <v>2035</v>
      </c>
    </row>
    <row r="35" spans="12:27" x14ac:dyDescent="0.2">
      <c r="M35" s="229" t="str">
        <f>"Wind"</f>
        <v>Wind</v>
      </c>
      <c r="N35" s="225" cm="1">
        <f t="array" ref="N35:AA35">_xlfn.ANCHORARRAY(Wind.Costs!K8)</f>
        <v>71.626568385061177</v>
      </c>
      <c r="O35" s="225">
        <v>67.796026534781902</v>
      </c>
      <c r="P35" s="225">
        <v>64.023402163902233</v>
      </c>
      <c r="Q35" s="225">
        <v>60.308695272422192</v>
      </c>
      <c r="R35" s="225">
        <v>56.651905860341792</v>
      </c>
      <c r="S35" s="225">
        <v>54.085340742511235</v>
      </c>
      <c r="T35" s="225">
        <v>51.55738727761377</v>
      </c>
      <c r="U35" s="225">
        <v>49.068045465649377</v>
      </c>
      <c r="V35" s="225">
        <v>46.617315306618075</v>
      </c>
      <c r="W35" s="225">
        <v>44.318189512644878</v>
      </c>
      <c r="X35" s="225">
        <v>43.036337014949346</v>
      </c>
      <c r="Y35" s="225">
        <v>40.785949494921539</v>
      </c>
      <c r="Z35" s="225">
        <v>39.538910050044144</v>
      </c>
      <c r="AA35" s="225">
        <v>37.33726080396174</v>
      </c>
    </row>
    <row r="36" spans="12:27" x14ac:dyDescent="0.2">
      <c r="M36" s="229" t="str">
        <f>"Solar"</f>
        <v>Solar</v>
      </c>
      <c r="N36" s="225" cm="1">
        <f t="array" ref="N36:AA36">_xlfn.ANCHORARRAY(Solar.Costs!K8)</f>
        <v>55.792785714285728</v>
      </c>
      <c r="O36" s="225">
        <v>55.660002907643694</v>
      </c>
      <c r="P36" s="225">
        <v>55.525221372768613</v>
      </c>
      <c r="Q36" s="225">
        <v>55.388407748083402</v>
      </c>
      <c r="R36" s="225">
        <v>55.249530478155677</v>
      </c>
      <c r="S36" s="225">
        <v>55.10855969310267</v>
      </c>
      <c r="T36" s="225">
        <v>54.965467097531025</v>
      </c>
      <c r="U36" s="225">
        <v>54.820225868144</v>
      </c>
      <c r="V36" s="225">
        <v>54.672810559236268</v>
      </c>
      <c r="W36" s="225">
        <v>54.834202632472582</v>
      </c>
      <c r="X36" s="225">
        <v>54.995228468909161</v>
      </c>
      <c r="Y36" s="225">
        <v>55.155887373603335</v>
      </c>
      <c r="Z36" s="225">
        <v>55.316178666719885</v>
      </c>
      <c r="AA36" s="225">
        <v>55.476101683122749</v>
      </c>
    </row>
    <row r="37" spans="12:27" x14ac:dyDescent="0.2">
      <c r="M37" s="229" t="str">
        <f>"Energy Storage ("&amp;es.selected.duration&amp;"hr)"</f>
        <v>Energy Storage (8hr)</v>
      </c>
      <c r="N37" s="225" cm="1">
        <f t="array" ref="N37:AA37">_xlfn.ANCHORARRAY(ES.Costs!K9)</f>
        <v>26.27</v>
      </c>
      <c r="O37" s="225">
        <v>24.75362808236402</v>
      </c>
      <c r="P37" s="225">
        <v>23.866607373400342</v>
      </c>
      <c r="Q37" s="225">
        <v>23.237256164728045</v>
      </c>
      <c r="R37" s="225">
        <v>22.749093442142794</v>
      </c>
      <c r="S37" s="225">
        <v>22.350235455764363</v>
      </c>
      <c r="T37" s="225">
        <v>22.013005833354715</v>
      </c>
      <c r="U37" s="225">
        <v>21.720884247092066</v>
      </c>
      <c r="V37" s="225">
        <v>21.463214746800691</v>
      </c>
      <c r="W37" s="225">
        <v>21.232721524506818</v>
      </c>
      <c r="X37" s="225">
        <v>21.024215042516424</v>
      </c>
      <c r="Y37" s="225">
        <v>20.833863538128391</v>
      </c>
      <c r="Z37" s="225">
        <v>20.658757128506053</v>
      </c>
      <c r="AA37" s="225">
        <v>20.496633915718736</v>
      </c>
    </row>
    <row r="38" spans="12:27" x14ac:dyDescent="0.2">
      <c r="M38" s="229" t="str">
        <f>"Solar + ES ("&amp;es.selected.duration&amp;"hr)"</f>
        <v>Solar + ES (8hr)</v>
      </c>
      <c r="N38" s="226" cm="1">
        <f t="array" ref="N38:AA38">_xlfn.ANCHORARRAY(Solar_ES.Costs!K8)</f>
        <v>66.62233928571429</v>
      </c>
      <c r="O38" s="226">
        <v>65.535061899919228</v>
      </c>
      <c r="P38" s="226">
        <v>64.823396511094529</v>
      </c>
      <c r="Q38" s="226">
        <v>64.26430073263451</v>
      </c>
      <c r="R38" s="226">
        <v>63.787854400584209</v>
      </c>
      <c r="S38" s="226">
        <v>63.362897395132713</v>
      </c>
      <c r="T38" s="226">
        <v>62.972795597543858</v>
      </c>
      <c r="U38" s="226">
        <v>62.6076099878278</v>
      </c>
      <c r="V38" s="226">
        <v>62.260921550173826</v>
      </c>
      <c r="W38" s="226">
        <v>62.23934626146238</v>
      </c>
      <c r="X38" s="226">
        <v>62.23059678013329</v>
      </c>
      <c r="Y38" s="226">
        <v>62.232373353623224</v>
      </c>
      <c r="Z38" s="226">
        <v>62.242929372394947</v>
      </c>
      <c r="AA38" s="226">
        <v>62.26090703255398</v>
      </c>
    </row>
    <row r="39" spans="12:27" x14ac:dyDescent="0.2">
      <c r="M39" s="229" t="str">
        <f>"Wind + ES ("&amp;es.selected.duration&amp;"hr)"</f>
        <v>Wind + ES (8hr)</v>
      </c>
      <c r="N39" s="226" cm="1">
        <f t="array" ref="N39:AA39">Wind_ES.Costs!wind.total.opex_CADperkW</f>
        <v>83.730568385061176</v>
      </c>
      <c r="O39" s="226">
        <v>79.046453384200319</v>
      </c>
      <c r="P39" s="226">
        <v>74.797866587942451</v>
      </c>
      <c r="Q39" s="226">
        <v>70.761798971259026</v>
      </c>
      <c r="R39" s="226">
        <v>66.868361925627482</v>
      </c>
      <c r="S39" s="226">
        <v>64.099982015969857</v>
      </c>
      <c r="T39" s="226">
        <v>61.407190777626596</v>
      </c>
      <c r="U39" s="226">
        <v>58.780076013904619</v>
      </c>
      <c r="V39" s="226">
        <v>56.212244154698482</v>
      </c>
      <c r="W39" s="226">
        <v>53.812322427348981</v>
      </c>
      <c r="X39" s="226">
        <v>52.424116040459204</v>
      </c>
      <c r="Y39" s="226">
        <v>50.097017617798564</v>
      </c>
      <c r="Z39" s="226">
        <v>48.763664327147779</v>
      </c>
      <c r="AA39" s="226">
        <v>46.50224115339298</v>
      </c>
    </row>
    <row r="40" spans="12:27" x14ac:dyDescent="0.2">
      <c r="M40" s="229" t="s">
        <v>19</v>
      </c>
      <c r="N40" s="226" cm="1">
        <f t="array" ref="N40:AA40">'Gas.Peaker.Costs'!K8:X8</f>
        <v>194.24595429702038</v>
      </c>
      <c r="O40" s="226">
        <v>196.07381077207</v>
      </c>
      <c r="P40" s="226">
        <v>198.02973908773842</v>
      </c>
      <c r="Q40" s="226">
        <v>200.06318309402559</v>
      </c>
      <c r="R40" s="226">
        <v>201.75771976593163</v>
      </c>
      <c r="S40" s="226">
        <v>203.11334910345639</v>
      </c>
      <c r="T40" s="226">
        <v>204.13007110659998</v>
      </c>
      <c r="U40" s="226">
        <v>204.80788577536237</v>
      </c>
      <c r="V40" s="226">
        <v>205.14679310974358</v>
      </c>
      <c r="W40" s="226">
        <v>205.14679310974358</v>
      </c>
      <c r="X40" s="226">
        <v>205.14679310974358</v>
      </c>
      <c r="Y40" s="226">
        <v>205.14679310974358</v>
      </c>
      <c r="Z40" s="226">
        <v>205.14679310974358</v>
      </c>
      <c r="AA40" s="226">
        <v>205.14679310974358</v>
      </c>
    </row>
    <row r="41" spans="12:27" x14ac:dyDescent="0.2">
      <c r="M41" s="229" t="s">
        <v>20</v>
      </c>
      <c r="N41" s="226" cm="1">
        <f t="array" ref="N41:AA41">_xlfn.ANCHORARRAY('CCGT.Costs'!K8)</f>
        <v>621.61003232211897</v>
      </c>
      <c r="O41" s="226">
        <v>630.14295262231735</v>
      </c>
      <c r="P41" s="226">
        <v>638.54246068499094</v>
      </c>
      <c r="Q41" s="226">
        <v>646.67623671013973</v>
      </c>
      <c r="R41" s="226">
        <v>653.45438339776365</v>
      </c>
      <c r="S41" s="226">
        <v>658.87690074786292</v>
      </c>
      <c r="T41" s="226">
        <v>662.94378876043731</v>
      </c>
      <c r="U41" s="226">
        <v>665.65504743548695</v>
      </c>
      <c r="V41" s="226">
        <v>667.01067677301182</v>
      </c>
      <c r="W41" s="226">
        <v>667.01067677301182</v>
      </c>
      <c r="X41" s="226">
        <v>667.01067677301182</v>
      </c>
      <c r="Y41" s="226">
        <v>667.01067677301182</v>
      </c>
      <c r="Z41" s="226">
        <v>667.01067677301182</v>
      </c>
      <c r="AA41" s="226">
        <v>667.01067677301182</v>
      </c>
    </row>
    <row r="42" spans="12:27" x14ac:dyDescent="0.2">
      <c r="M42" s="229"/>
    </row>
    <row r="43" spans="12:27" x14ac:dyDescent="0.2">
      <c r="L43" s="279" t="str">
        <f>selected.location&amp;" LCOE (CA$2022/kWh)"&amp;IF(ITC.toggle="Yes"," (ITC)","")</f>
        <v>Ontario LCOE (CA$2022/kWh)</v>
      </c>
      <c r="M43" s="229"/>
      <c r="N43" s="224">
        <v>2022</v>
      </c>
      <c r="O43" s="224">
        <v>2023</v>
      </c>
      <c r="P43" s="224">
        <v>2024</v>
      </c>
      <c r="Q43" s="224">
        <v>2025</v>
      </c>
      <c r="R43" s="224">
        <v>2026</v>
      </c>
      <c r="S43" s="224">
        <v>2027</v>
      </c>
      <c r="T43" s="224">
        <v>2028</v>
      </c>
      <c r="U43" s="224">
        <v>2029</v>
      </c>
      <c r="V43" s="224">
        <v>2030</v>
      </c>
      <c r="W43" s="224">
        <v>2031</v>
      </c>
      <c r="X43" s="224">
        <v>2032</v>
      </c>
      <c r="Y43" s="224">
        <v>2033</v>
      </c>
      <c r="Z43" s="224">
        <v>2034</v>
      </c>
      <c r="AA43" s="224">
        <v>2035</v>
      </c>
    </row>
    <row r="44" spans="12:27" x14ac:dyDescent="0.2">
      <c r="M44" s="229" t="str">
        <f>"Wind"</f>
        <v>Wind</v>
      </c>
      <c r="N44" s="227" cm="1">
        <f t="array" ref="N44:AA44">_xlfn.ANCHORARRAY(Wind.Costs!K9)</f>
        <v>5.2017492710333423E-2</v>
      </c>
      <c r="O44" s="227">
        <v>4.9513233520065793E-2</v>
      </c>
      <c r="P44" s="227">
        <v>4.7610584576763711E-2</v>
      </c>
      <c r="Q44" s="227">
        <v>4.5122695197836356E-2</v>
      </c>
      <c r="R44" s="227">
        <v>4.3138643423956041E-2</v>
      </c>
      <c r="S44" s="227">
        <v>4.1431182066047602E-2</v>
      </c>
      <c r="T44" s="227">
        <v>3.9711967531764515E-2</v>
      </c>
      <c r="U44" s="227">
        <v>3.8373138567489376E-2</v>
      </c>
      <c r="V44" s="227">
        <v>3.6564460554008527E-2</v>
      </c>
      <c r="W44" s="227">
        <v>3.510744615257648E-2</v>
      </c>
      <c r="X44" s="227">
        <v>3.40320820699202E-2</v>
      </c>
      <c r="Y44" s="227">
        <v>3.2409390925978179E-2</v>
      </c>
      <c r="Z44" s="227">
        <v>3.1215973375792318E-2</v>
      </c>
      <c r="AA44" s="227">
        <v>2.8755383054468512E-2</v>
      </c>
    </row>
    <row r="45" spans="12:27" x14ac:dyDescent="0.2">
      <c r="M45" s="229" t="str">
        <f>"Solar"</f>
        <v>Solar</v>
      </c>
      <c r="N45" s="227" cm="1">
        <f t="array" ref="N45:AA45">_xlfn.ANCHORARRAY(Solar.Costs!K9)</f>
        <v>8.8155474520390589E-2</v>
      </c>
      <c r="O45" s="227">
        <v>8.3066981305204526E-2</v>
      </c>
      <c r="P45" s="227">
        <v>7.9947123039100565E-2</v>
      </c>
      <c r="Q45" s="227">
        <v>7.8286857135013765E-2</v>
      </c>
      <c r="R45" s="227">
        <v>7.644528735041789E-2</v>
      </c>
      <c r="S45" s="227">
        <v>7.4930365818539346E-2</v>
      </c>
      <c r="T45" s="227">
        <v>7.3648364086015383E-2</v>
      </c>
      <c r="U45" s="227">
        <v>7.2998889326943456E-2</v>
      </c>
      <c r="V45" s="227">
        <v>7.199578486875774E-2</v>
      </c>
      <c r="W45" s="227">
        <v>7.1299212545042137E-2</v>
      </c>
      <c r="X45" s="227">
        <v>7.0699630925377621E-2</v>
      </c>
      <c r="Y45" s="227">
        <v>7.0542917446793862E-2</v>
      </c>
      <c r="Z45" s="227">
        <v>7.0071438789096052E-2</v>
      </c>
      <c r="AA45" s="227">
        <v>6.9663452697774839E-2</v>
      </c>
    </row>
    <row r="46" spans="12:27" x14ac:dyDescent="0.2">
      <c r="M46" s="229" t="str">
        <f>"Energy Storage ("&amp;es.selected.duration&amp;"hr)"</f>
        <v>Energy Storage (8hr)</v>
      </c>
      <c r="N46" s="227" cm="1">
        <f t="array" ref="N46:AA46">_xlfn.ANCHORARRAY(ES.Costs!K10)</f>
        <v>0.29947054236903625</v>
      </c>
      <c r="O46" s="227">
        <v>0.27527166601525749</v>
      </c>
      <c r="P46" s="227">
        <v>0.25722019188228595</v>
      </c>
      <c r="Q46" s="227">
        <v>0.24265796898328165</v>
      </c>
      <c r="R46" s="227">
        <v>0.23041648508880588</v>
      </c>
      <c r="S46" s="227">
        <v>0.21985537439346081</v>
      </c>
      <c r="T46" s="227">
        <v>0.21057760181091262</v>
      </c>
      <c r="U46" s="227">
        <v>0.20231650191041281</v>
      </c>
      <c r="V46" s="227">
        <v>0.19488266785728423</v>
      </c>
      <c r="W46" s="227">
        <v>0.18813591283612874</v>
      </c>
      <c r="X46" s="227">
        <v>0.18196915746468326</v>
      </c>
      <c r="Y46" s="227">
        <v>0.17629855002897341</v>
      </c>
      <c r="Z46" s="227">
        <v>0.17105709075603326</v>
      </c>
      <c r="AA46" s="227">
        <v>0.16435983300573187</v>
      </c>
    </row>
    <row r="47" spans="12:27" x14ac:dyDescent="0.2">
      <c r="M47" s="229" t="str">
        <f>"Solar + ES ("&amp;es.selected.duration&amp;"hr)"</f>
        <v>Solar + ES (8hr)</v>
      </c>
      <c r="N47" s="228" cm="1">
        <f t="array" ref="N47:AA47">_xlfn.ANCHORARRAY(Solar_ES.Costs!K9)</f>
        <v>0.2294753143861</v>
      </c>
      <c r="O47" s="228">
        <v>0.21158089721358725</v>
      </c>
      <c r="P47" s="228">
        <v>0.19868554787216697</v>
      </c>
      <c r="Q47" s="228">
        <v>0.19056438635839243</v>
      </c>
      <c r="R47" s="228">
        <v>0.18172394024218502</v>
      </c>
      <c r="S47" s="228">
        <v>0.17476977645964301</v>
      </c>
      <c r="T47" s="228">
        <v>0.16869999555728465</v>
      </c>
      <c r="U47" s="228">
        <v>0.16488536793097391</v>
      </c>
      <c r="V47" s="228">
        <v>0.15994619862231207</v>
      </c>
      <c r="W47" s="228">
        <v>0.15568736898960342</v>
      </c>
      <c r="X47" s="228">
        <v>0.151837338658524</v>
      </c>
      <c r="Y47" s="228">
        <v>0.14951868202189131</v>
      </c>
      <c r="Z47" s="228">
        <v>0.14623092919482641</v>
      </c>
      <c r="AA47" s="228">
        <v>0.1426537087294871</v>
      </c>
    </row>
    <row r="48" spans="12:27" x14ac:dyDescent="0.2">
      <c r="M48" s="229" t="str">
        <f>"Wind + ES ("&amp;es.selected.duration&amp;"hr)"</f>
        <v>Wind + ES (8hr)</v>
      </c>
      <c r="N48" s="228" cm="1">
        <f t="array" ref="N48:AA48">Wind_ES.Costs!wind.LCOE_CADperkWh</f>
        <v>0.11555304028466246</v>
      </c>
      <c r="O48" s="228">
        <v>0.10765302667847286</v>
      </c>
      <c r="P48" s="228">
        <v>0.10249501678980574</v>
      </c>
      <c r="Q48" s="228">
        <v>9.6397512481071493E-2</v>
      </c>
      <c r="R48" s="228">
        <v>9.2127529180677042E-2</v>
      </c>
      <c r="S48" s="228">
        <v>8.8001272893977647E-2</v>
      </c>
      <c r="T48" s="228">
        <v>8.4143673154844806E-2</v>
      </c>
      <c r="U48" s="228">
        <v>8.1541513267128024E-2</v>
      </c>
      <c r="V48" s="228">
        <v>7.794990463234687E-2</v>
      </c>
      <c r="W48" s="228">
        <v>7.5452992347889561E-2</v>
      </c>
      <c r="X48" s="228">
        <v>7.2894874247257671E-2</v>
      </c>
      <c r="Y48" s="228">
        <v>7.0385742108950697E-2</v>
      </c>
      <c r="Z48" s="228">
        <v>6.7896964914992655E-2</v>
      </c>
      <c r="AA48" s="228">
        <v>6.3105429675206506E-2</v>
      </c>
    </row>
    <row r="49" spans="13:27" x14ac:dyDescent="0.2">
      <c r="M49" s="229" t="s">
        <v>19</v>
      </c>
      <c r="N49" s="228" cm="1">
        <f t="array" ref="N49:AA49">'Gas.Peaker.Costs'!K9:X9</f>
        <v>0.23392007189542877</v>
      </c>
      <c r="O49" s="228">
        <v>0.23468770574047923</v>
      </c>
      <c r="P49" s="228">
        <v>0.23446191877460035</v>
      </c>
      <c r="Q49" s="228">
        <v>0.23469683923356052</v>
      </c>
      <c r="R49" s="228">
        <v>0.23525796567636398</v>
      </c>
      <c r="S49" s="228">
        <v>0.23534815033500348</v>
      </c>
      <c r="T49" s="228">
        <v>0.23556525403548445</v>
      </c>
      <c r="U49" s="228">
        <v>0.23551070289380321</v>
      </c>
      <c r="V49" s="228">
        <v>0.23538378385196179</v>
      </c>
      <c r="W49" s="228">
        <v>0.23488556649695719</v>
      </c>
      <c r="X49" s="228">
        <v>0.23448699261295355</v>
      </c>
      <c r="Y49" s="228">
        <v>0.23408841872894992</v>
      </c>
      <c r="Z49" s="228">
        <v>0.2337894883159472</v>
      </c>
      <c r="AA49" s="228">
        <v>0.2333909144319436</v>
      </c>
    </row>
    <row r="50" spans="13:27" x14ac:dyDescent="0.2">
      <c r="M50" s="229" t="s">
        <v>20</v>
      </c>
      <c r="N50" s="228" cm="1">
        <f t="array" ref="N50:AA50">_xlfn.ANCHORARRAY('CCGT.Costs'!K9)</f>
        <v>0.14716943277909431</v>
      </c>
      <c r="O50" s="228">
        <v>0.14875134603708054</v>
      </c>
      <c r="P50" s="228">
        <v>0.15012732423144606</v>
      </c>
      <c r="Q50" s="228">
        <v>0.15155245264685965</v>
      </c>
      <c r="R50" s="228">
        <v>0.15275712637950078</v>
      </c>
      <c r="S50" s="228">
        <v>0.15366454519028491</v>
      </c>
      <c r="T50" s="228">
        <v>0.15435150931829672</v>
      </c>
      <c r="U50" s="228">
        <v>0.15476681860414646</v>
      </c>
      <c r="V50" s="228">
        <v>0.15496167320722382</v>
      </c>
      <c r="W50" s="228">
        <v>0.15483367280874921</v>
      </c>
      <c r="X50" s="228">
        <v>0.15475687256966444</v>
      </c>
      <c r="Y50" s="228">
        <v>0.15465447225088477</v>
      </c>
      <c r="Z50" s="228">
        <v>0.1545776720118</v>
      </c>
      <c r="AA50" s="228">
        <v>0.15447527169302028</v>
      </c>
    </row>
    <row r="51" spans="13:27" x14ac:dyDescent="0.2">
      <c r="M51" s="229" t="s">
        <v>21</v>
      </c>
      <c r="N51" s="228" cm="1">
        <f t="array" ref="N51:AA51">_xlfn.ANCHORARRAY('Gas.Peaker.Costs (No Carb Tax)'!K9)</f>
        <v>0.15133699987813648</v>
      </c>
      <c r="O51" s="228">
        <v>0.14993139498588967</v>
      </c>
      <c r="P51" s="228">
        <v>0.14780402412487587</v>
      </c>
      <c r="Q51" s="228">
        <v>0.14640901553086316</v>
      </c>
      <c r="R51" s="228">
        <v>0.14561186776285581</v>
      </c>
      <c r="S51" s="228">
        <v>0.14461543305284674</v>
      </c>
      <c r="T51" s="228">
        <v>0.14401757222684131</v>
      </c>
      <c r="U51" s="228">
        <v>0.14341971140083584</v>
      </c>
      <c r="V51" s="228">
        <v>0.14302113751683221</v>
      </c>
      <c r="W51" s="228">
        <v>0.14252292016182763</v>
      </c>
      <c r="X51" s="228">
        <v>0.142124346277824</v>
      </c>
      <c r="Y51" s="228">
        <v>0.14172577239382034</v>
      </c>
      <c r="Z51" s="228">
        <v>0.14142684198081762</v>
      </c>
      <c r="AA51" s="228">
        <v>0.14102826809681399</v>
      </c>
    </row>
    <row r="52" spans="13:27" x14ac:dyDescent="0.2">
      <c r="M52" s="229" t="s">
        <v>22</v>
      </c>
      <c r="N52" s="228" cm="1">
        <f t="array" ref="N52:AA52">_xlfn.ANCHORARRAY('CCGT.Costs (No Carb Tax)'!K9)</f>
        <v>6.4586360761801992E-2</v>
      </c>
      <c r="O52" s="228">
        <v>6.3995035282491036E-2</v>
      </c>
      <c r="P52" s="228">
        <v>6.3469429581721568E-2</v>
      </c>
      <c r="Q52" s="228">
        <v>6.3264628944162196E-2</v>
      </c>
      <c r="R52" s="228">
        <v>6.3111028465992661E-2</v>
      </c>
      <c r="S52" s="228">
        <v>6.2931827908128193E-2</v>
      </c>
      <c r="T52" s="228">
        <v>6.2803827509653576E-2</v>
      </c>
      <c r="U52" s="228">
        <v>6.2675827111178972E-2</v>
      </c>
      <c r="V52" s="228">
        <v>6.2599026872094218E-2</v>
      </c>
      <c r="W52" s="228">
        <v>6.2471026473619594E-2</v>
      </c>
      <c r="X52" s="228">
        <v>6.2394226234534826E-2</v>
      </c>
      <c r="Y52" s="228">
        <v>6.229182591575514E-2</v>
      </c>
      <c r="Z52" s="228">
        <v>6.221502567667038E-2</v>
      </c>
      <c r="AA52" s="228">
        <v>6.2112625357890687E-2</v>
      </c>
    </row>
    <row r="56" spans="13:27" x14ac:dyDescent="0.2">
      <c r="M56" s="279"/>
    </row>
    <row r="57" spans="13:27" x14ac:dyDescent="0.2">
      <c r="M57" s="229"/>
      <c r="N57" s="228"/>
      <c r="O57" s="228"/>
      <c r="P57" s="228"/>
      <c r="Q57" s="228"/>
      <c r="R57" s="228"/>
      <c r="S57" s="228"/>
      <c r="T57" s="228"/>
      <c r="U57" s="228"/>
      <c r="V57" s="228"/>
      <c r="W57" s="228"/>
      <c r="X57" s="228"/>
      <c r="Y57" s="228"/>
      <c r="Z57" s="228"/>
      <c r="AA57" s="228"/>
    </row>
    <row r="58" spans="13:27" x14ac:dyDescent="0.2">
      <c r="M58" s="229"/>
      <c r="N58" s="228"/>
      <c r="O58" s="228"/>
      <c r="P58" s="228"/>
      <c r="Q58" s="228"/>
      <c r="R58" s="228"/>
      <c r="S58" s="228"/>
      <c r="T58" s="228"/>
      <c r="U58" s="228"/>
      <c r="V58" s="228"/>
      <c r="W58" s="228"/>
      <c r="X58" s="228"/>
      <c r="Y58" s="228"/>
      <c r="Z58" s="228"/>
      <c r="AA58" s="228"/>
    </row>
    <row r="59" spans="13:27" x14ac:dyDescent="0.2">
      <c r="M59" s="229"/>
      <c r="N59" s="228"/>
      <c r="O59" s="228"/>
      <c r="P59" s="228"/>
      <c r="Q59" s="228"/>
      <c r="R59" s="228"/>
      <c r="S59" s="228"/>
      <c r="T59" s="228"/>
      <c r="U59" s="228"/>
      <c r="V59" s="228"/>
      <c r="W59" s="228"/>
      <c r="X59" s="228"/>
      <c r="Y59" s="228"/>
      <c r="Z59" s="228"/>
      <c r="AA59" s="228"/>
    </row>
    <row r="60" spans="13:27" x14ac:dyDescent="0.2">
      <c r="M60" s="229"/>
    </row>
    <row r="61" spans="13:27" x14ac:dyDescent="0.2">
      <c r="M61" s="279"/>
    </row>
    <row r="62" spans="13:27" x14ac:dyDescent="0.2">
      <c r="M62" s="229"/>
      <c r="N62" s="228"/>
      <c r="O62" s="228"/>
      <c r="P62" s="228"/>
      <c r="Q62" s="228"/>
      <c r="R62" s="228"/>
      <c r="S62" s="228"/>
      <c r="T62" s="228"/>
      <c r="U62" s="228"/>
      <c r="V62" s="228"/>
      <c r="W62" s="228"/>
      <c r="X62" s="228"/>
      <c r="Y62" s="228"/>
      <c r="Z62" s="228"/>
      <c r="AA62" s="228"/>
    </row>
    <row r="63" spans="13:27" x14ac:dyDescent="0.2">
      <c r="M63" s="229"/>
      <c r="N63" s="228"/>
      <c r="O63" s="228"/>
      <c r="P63" s="228"/>
      <c r="Q63" s="228"/>
      <c r="R63" s="228"/>
      <c r="S63" s="228"/>
      <c r="T63" s="228"/>
      <c r="U63" s="228"/>
      <c r="V63" s="228"/>
      <c r="W63" s="228"/>
      <c r="X63" s="228"/>
      <c r="Y63" s="228"/>
      <c r="Z63" s="228"/>
      <c r="AA63" s="228"/>
    </row>
    <row r="64" spans="13:27" x14ac:dyDescent="0.2">
      <c r="M64" s="229"/>
      <c r="N64" s="228"/>
      <c r="O64" s="228"/>
      <c r="P64" s="228"/>
      <c r="Q64" s="228"/>
      <c r="R64" s="228"/>
      <c r="S64" s="228"/>
      <c r="T64" s="228"/>
      <c r="U64" s="228"/>
      <c r="V64" s="228"/>
      <c r="W64" s="228"/>
      <c r="X64" s="228"/>
      <c r="Y64" s="228"/>
      <c r="Z64" s="228"/>
      <c r="AA64" s="228"/>
    </row>
    <row r="82" spans="13:13" x14ac:dyDescent="0.2">
      <c r="M82" s="229"/>
    </row>
    <row r="83" spans="13:13" x14ac:dyDescent="0.2">
      <c r="M83" s="229"/>
    </row>
    <row r="84" spans="13:13" x14ac:dyDescent="0.2">
      <c r="M84" s="229"/>
    </row>
    <row r="85" spans="13:13" x14ac:dyDescent="0.2">
      <c r="M85" s="229"/>
    </row>
  </sheetData>
  <mergeCells count="1">
    <mergeCell ref="B3:E3"/>
  </mergeCells>
  <dataValidations count="2">
    <dataValidation type="list" allowBlank="1" showInputMessage="1" showErrorMessage="1" sqref="F8" xr:uid="{EEE99DAC-9668-4501-8169-4CDFF12A2ADA}">
      <formula1>"Yes,No"</formula1>
    </dataValidation>
    <dataValidation type="list" allowBlank="1" showInputMessage="1" showErrorMessage="1" sqref="F10" xr:uid="{B31E4D88-7E3B-44FA-B61F-0A1F9DD3F82A}">
      <formula1>"4,6,8"</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30D9381-69C3-45D0-AE0A-C3B7C310A5F4}">
          <x14:formula1>
            <xm:f>Jurisdiction_Inputs!$L$24:$M$24</xm:f>
          </x14:formula1>
          <xm:sqref>F6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B012D-1177-4E23-909F-C74A57E694A1}">
  <dimension ref="B1:L68"/>
  <sheetViews>
    <sheetView workbookViewId="0">
      <selection activeCell="H83" sqref="H83"/>
    </sheetView>
  </sheetViews>
  <sheetFormatPr baseColWidth="10" defaultColWidth="8.83203125" defaultRowHeight="16" x14ac:dyDescent="0.2"/>
  <cols>
    <col min="1" max="1" width="2.6640625" style="220" customWidth="1"/>
    <col min="2" max="2" width="2.6640625" style="223" customWidth="1"/>
    <col min="3" max="3" width="2.6640625" style="218" customWidth="1"/>
    <col min="4" max="4" width="2.6640625" style="219" customWidth="1"/>
    <col min="5" max="5" width="20.6640625" style="220" customWidth="1"/>
    <col min="6" max="9" width="2.6640625" style="220" customWidth="1"/>
    <col min="10" max="12" width="13.6640625" style="288" customWidth="1"/>
    <col min="13" max="16384" width="8.83203125" style="220"/>
  </cols>
  <sheetData>
    <row r="1" spans="2:11" ht="21" x14ac:dyDescent="0.25">
      <c r="B1" s="217" t="s">
        <v>23</v>
      </c>
    </row>
    <row r="2" spans="2:11" ht="19" x14ac:dyDescent="0.25">
      <c r="B2" s="222" t="str">
        <f>_Cover!B14</f>
        <v>Renewable Cost Forecast</v>
      </c>
    </row>
    <row r="3" spans="2:11" ht="15" x14ac:dyDescent="0.2">
      <c r="B3" s="333" t="str">
        <f ca="1">HYPERLINK("#"&amp;CELL("address", _Contents!B3 ), "Go to Table of Contents")</f>
        <v>Go to Table of Contents</v>
      </c>
      <c r="C3" s="333"/>
      <c r="D3" s="333"/>
      <c r="E3" s="333"/>
      <c r="F3" s="289"/>
      <c r="G3" s="289"/>
    </row>
    <row r="8" spans="2:11" ht="30" x14ac:dyDescent="0.2">
      <c r="J8" s="290" t="s">
        <v>24</v>
      </c>
      <c r="K8" s="290" t="s">
        <v>25</v>
      </c>
    </row>
    <row r="9" spans="2:11" x14ac:dyDescent="0.2">
      <c r="J9" s="291">
        <v>2022</v>
      </c>
      <c r="K9" s="293">
        <v>50</v>
      </c>
    </row>
    <row r="10" spans="2:11" x14ac:dyDescent="0.2">
      <c r="J10" s="292">
        <v>2023</v>
      </c>
      <c r="K10" s="293">
        <f t="shared" ref="K10:K17" si="0">K9+15</f>
        <v>65</v>
      </c>
    </row>
    <row r="11" spans="2:11" x14ac:dyDescent="0.2">
      <c r="J11" s="292">
        <v>2024</v>
      </c>
      <c r="K11" s="293">
        <f t="shared" si="0"/>
        <v>80</v>
      </c>
    </row>
    <row r="12" spans="2:11" x14ac:dyDescent="0.2">
      <c r="J12" s="292">
        <v>2025</v>
      </c>
      <c r="K12" s="293">
        <f t="shared" si="0"/>
        <v>95</v>
      </c>
    </row>
    <row r="13" spans="2:11" x14ac:dyDescent="0.2">
      <c r="J13" s="292">
        <v>2026</v>
      </c>
      <c r="K13" s="293">
        <f t="shared" si="0"/>
        <v>110</v>
      </c>
    </row>
    <row r="14" spans="2:11" x14ac:dyDescent="0.2">
      <c r="J14" s="292">
        <v>2027</v>
      </c>
      <c r="K14" s="293">
        <f t="shared" si="0"/>
        <v>125</v>
      </c>
    </row>
    <row r="15" spans="2:11" x14ac:dyDescent="0.2">
      <c r="J15" s="292">
        <v>2028</v>
      </c>
      <c r="K15" s="293">
        <f t="shared" si="0"/>
        <v>140</v>
      </c>
    </row>
    <row r="16" spans="2:11" x14ac:dyDescent="0.2">
      <c r="J16" s="292">
        <v>2029</v>
      </c>
      <c r="K16" s="293">
        <f t="shared" si="0"/>
        <v>155</v>
      </c>
    </row>
    <row r="17" spans="10:11" x14ac:dyDescent="0.2">
      <c r="J17" s="292">
        <v>2030</v>
      </c>
      <c r="K17" s="293">
        <f t="shared" si="0"/>
        <v>170</v>
      </c>
    </row>
    <row r="18" spans="10:11" x14ac:dyDescent="0.2">
      <c r="J18" s="292">
        <v>2031</v>
      </c>
      <c r="K18" s="293">
        <f t="shared" ref="K18:K52" si="1">K17</f>
        <v>170</v>
      </c>
    </row>
    <row r="19" spans="10:11" x14ac:dyDescent="0.2">
      <c r="J19" s="292">
        <v>2032</v>
      </c>
      <c r="K19" s="293">
        <f t="shared" si="1"/>
        <v>170</v>
      </c>
    </row>
    <row r="20" spans="10:11" x14ac:dyDescent="0.2">
      <c r="J20" s="292">
        <v>2033</v>
      </c>
      <c r="K20" s="293">
        <f t="shared" si="1"/>
        <v>170</v>
      </c>
    </row>
    <row r="21" spans="10:11" x14ac:dyDescent="0.2">
      <c r="J21" s="292">
        <v>2034</v>
      </c>
      <c r="K21" s="293">
        <f t="shared" si="1"/>
        <v>170</v>
      </c>
    </row>
    <row r="22" spans="10:11" x14ac:dyDescent="0.2">
      <c r="J22" s="292">
        <v>2035</v>
      </c>
      <c r="K22" s="293">
        <f t="shared" si="1"/>
        <v>170</v>
      </c>
    </row>
    <row r="23" spans="10:11" x14ac:dyDescent="0.2">
      <c r="J23" s="292">
        <v>2036</v>
      </c>
      <c r="K23" s="293">
        <f t="shared" si="1"/>
        <v>170</v>
      </c>
    </row>
    <row r="24" spans="10:11" x14ac:dyDescent="0.2">
      <c r="J24" s="292">
        <v>2037</v>
      </c>
      <c r="K24" s="293">
        <f t="shared" si="1"/>
        <v>170</v>
      </c>
    </row>
    <row r="25" spans="10:11" x14ac:dyDescent="0.2">
      <c r="J25" s="292">
        <v>2038</v>
      </c>
      <c r="K25" s="293">
        <f t="shared" si="1"/>
        <v>170</v>
      </c>
    </row>
    <row r="26" spans="10:11" x14ac:dyDescent="0.2">
      <c r="J26" s="292">
        <v>2039</v>
      </c>
      <c r="K26" s="293">
        <f t="shared" si="1"/>
        <v>170</v>
      </c>
    </row>
    <row r="27" spans="10:11" x14ac:dyDescent="0.2">
      <c r="J27" s="292">
        <v>2040</v>
      </c>
      <c r="K27" s="293">
        <f t="shared" si="1"/>
        <v>170</v>
      </c>
    </row>
    <row r="28" spans="10:11" x14ac:dyDescent="0.2">
      <c r="J28" s="292">
        <v>2041</v>
      </c>
      <c r="K28" s="293">
        <f t="shared" si="1"/>
        <v>170</v>
      </c>
    </row>
    <row r="29" spans="10:11" x14ac:dyDescent="0.2">
      <c r="J29" s="292">
        <v>2042</v>
      </c>
      <c r="K29" s="293">
        <f t="shared" si="1"/>
        <v>170</v>
      </c>
    </row>
    <row r="30" spans="10:11" x14ac:dyDescent="0.2">
      <c r="J30" s="292">
        <v>2043</v>
      </c>
      <c r="K30" s="293">
        <f t="shared" si="1"/>
        <v>170</v>
      </c>
    </row>
    <row r="31" spans="10:11" x14ac:dyDescent="0.2">
      <c r="J31" s="292">
        <v>2044</v>
      </c>
      <c r="K31" s="293">
        <f t="shared" si="1"/>
        <v>170</v>
      </c>
    </row>
    <row r="32" spans="10:11" x14ac:dyDescent="0.2">
      <c r="J32" s="292">
        <v>2045</v>
      </c>
      <c r="K32" s="293">
        <f t="shared" si="1"/>
        <v>170</v>
      </c>
    </row>
    <row r="33" spans="10:11" x14ac:dyDescent="0.2">
      <c r="J33" s="292">
        <v>2046</v>
      </c>
      <c r="K33" s="293">
        <f t="shared" si="1"/>
        <v>170</v>
      </c>
    </row>
    <row r="34" spans="10:11" x14ac:dyDescent="0.2">
      <c r="J34" s="292">
        <v>2047</v>
      </c>
      <c r="K34" s="293">
        <f t="shared" si="1"/>
        <v>170</v>
      </c>
    </row>
    <row r="35" spans="10:11" x14ac:dyDescent="0.2">
      <c r="J35" s="292">
        <v>2048</v>
      </c>
      <c r="K35" s="293">
        <f t="shared" si="1"/>
        <v>170</v>
      </c>
    </row>
    <row r="36" spans="10:11" x14ac:dyDescent="0.2">
      <c r="J36" s="292">
        <v>2049</v>
      </c>
      <c r="K36" s="293">
        <f t="shared" si="1"/>
        <v>170</v>
      </c>
    </row>
    <row r="37" spans="10:11" x14ac:dyDescent="0.2">
      <c r="J37" s="292">
        <v>2050</v>
      </c>
      <c r="K37" s="293">
        <f t="shared" si="1"/>
        <v>170</v>
      </c>
    </row>
    <row r="38" spans="10:11" x14ac:dyDescent="0.2">
      <c r="J38" s="292">
        <v>2051</v>
      </c>
      <c r="K38" s="293">
        <f t="shared" si="1"/>
        <v>170</v>
      </c>
    </row>
    <row r="39" spans="10:11" x14ac:dyDescent="0.2">
      <c r="J39" s="292">
        <v>2052</v>
      </c>
      <c r="K39" s="293">
        <f t="shared" si="1"/>
        <v>170</v>
      </c>
    </row>
    <row r="40" spans="10:11" x14ac:dyDescent="0.2">
      <c r="J40" s="292">
        <v>2053</v>
      </c>
      <c r="K40" s="293">
        <f t="shared" si="1"/>
        <v>170</v>
      </c>
    </row>
    <row r="41" spans="10:11" x14ac:dyDescent="0.2">
      <c r="J41" s="292">
        <v>2054</v>
      </c>
      <c r="K41" s="293">
        <f t="shared" si="1"/>
        <v>170</v>
      </c>
    </row>
    <row r="42" spans="10:11" x14ac:dyDescent="0.2">
      <c r="J42" s="292">
        <v>2055</v>
      </c>
      <c r="K42" s="293">
        <f t="shared" si="1"/>
        <v>170</v>
      </c>
    </row>
    <row r="43" spans="10:11" x14ac:dyDescent="0.2">
      <c r="J43" s="292">
        <v>2056</v>
      </c>
      <c r="K43" s="293">
        <f t="shared" si="1"/>
        <v>170</v>
      </c>
    </row>
    <row r="44" spans="10:11" x14ac:dyDescent="0.2">
      <c r="J44" s="292">
        <v>2057</v>
      </c>
      <c r="K44" s="293">
        <f t="shared" si="1"/>
        <v>170</v>
      </c>
    </row>
    <row r="45" spans="10:11" x14ac:dyDescent="0.2">
      <c r="J45" s="292">
        <v>2058</v>
      </c>
      <c r="K45" s="293">
        <f t="shared" si="1"/>
        <v>170</v>
      </c>
    </row>
    <row r="46" spans="10:11" x14ac:dyDescent="0.2">
      <c r="J46" s="292">
        <v>2059</v>
      </c>
      <c r="K46" s="293">
        <f t="shared" si="1"/>
        <v>170</v>
      </c>
    </row>
    <row r="47" spans="10:11" x14ac:dyDescent="0.2">
      <c r="J47" s="292">
        <v>2060</v>
      </c>
      <c r="K47" s="293">
        <f t="shared" si="1"/>
        <v>170</v>
      </c>
    </row>
    <row r="48" spans="10:11" x14ac:dyDescent="0.2">
      <c r="J48" s="292">
        <v>2061</v>
      </c>
      <c r="K48" s="293">
        <f t="shared" si="1"/>
        <v>170</v>
      </c>
    </row>
    <row r="49" spans="10:12" x14ac:dyDescent="0.2">
      <c r="J49" s="292">
        <v>2062</v>
      </c>
      <c r="K49" s="293">
        <f t="shared" si="1"/>
        <v>170</v>
      </c>
    </row>
    <row r="50" spans="10:12" x14ac:dyDescent="0.2">
      <c r="J50" s="292">
        <v>2063</v>
      </c>
      <c r="K50" s="293">
        <f t="shared" si="1"/>
        <v>170</v>
      </c>
    </row>
    <row r="51" spans="10:12" x14ac:dyDescent="0.2">
      <c r="J51" s="292">
        <v>2064</v>
      </c>
      <c r="K51" s="293">
        <f t="shared" si="1"/>
        <v>170</v>
      </c>
    </row>
    <row r="52" spans="10:12" x14ac:dyDescent="0.2">
      <c r="J52" s="292">
        <v>2065</v>
      </c>
      <c r="K52" s="293">
        <f t="shared" si="1"/>
        <v>170</v>
      </c>
    </row>
    <row r="53" spans="10:12" x14ac:dyDescent="0.2">
      <c r="J53" s="292"/>
      <c r="K53" s="292"/>
      <c r="L53" s="292"/>
    </row>
    <row r="54" spans="10:12" x14ac:dyDescent="0.2">
      <c r="J54" s="292"/>
      <c r="K54" s="292"/>
      <c r="L54" s="292"/>
    </row>
    <row r="55" spans="10:12" x14ac:dyDescent="0.2">
      <c r="J55" s="292"/>
      <c r="K55" s="292"/>
      <c r="L55" s="292"/>
    </row>
    <row r="56" spans="10:12" x14ac:dyDescent="0.2">
      <c r="J56" s="292"/>
      <c r="K56" s="292"/>
      <c r="L56" s="292"/>
    </row>
    <row r="57" spans="10:12" x14ac:dyDescent="0.2">
      <c r="J57" s="292"/>
      <c r="K57" s="292"/>
      <c r="L57" s="292"/>
    </row>
    <row r="58" spans="10:12" x14ac:dyDescent="0.2">
      <c r="J58" s="292"/>
      <c r="K58" s="292"/>
      <c r="L58" s="292"/>
    </row>
    <row r="59" spans="10:12" x14ac:dyDescent="0.2">
      <c r="J59" s="292"/>
      <c r="K59" s="292"/>
      <c r="L59" s="292"/>
    </row>
    <row r="60" spans="10:12" x14ac:dyDescent="0.2">
      <c r="J60" s="292"/>
      <c r="K60" s="292"/>
      <c r="L60" s="292"/>
    </row>
    <row r="61" spans="10:12" x14ac:dyDescent="0.2">
      <c r="J61" s="292"/>
      <c r="K61" s="292"/>
      <c r="L61" s="292"/>
    </row>
    <row r="62" spans="10:12" x14ac:dyDescent="0.2">
      <c r="J62" s="292"/>
      <c r="K62" s="292"/>
      <c r="L62" s="292"/>
    </row>
    <row r="63" spans="10:12" x14ac:dyDescent="0.2">
      <c r="J63" s="292"/>
      <c r="K63" s="292"/>
      <c r="L63" s="292"/>
    </row>
    <row r="64" spans="10:12" x14ac:dyDescent="0.2">
      <c r="J64" s="292"/>
      <c r="K64" s="292"/>
      <c r="L64" s="292"/>
    </row>
    <row r="65" spans="10:12" x14ac:dyDescent="0.2">
      <c r="J65" s="292"/>
      <c r="K65" s="292"/>
      <c r="L65" s="292"/>
    </row>
    <row r="66" spans="10:12" x14ac:dyDescent="0.2">
      <c r="J66" s="292"/>
      <c r="K66" s="292"/>
      <c r="L66" s="292"/>
    </row>
    <row r="67" spans="10:12" x14ac:dyDescent="0.2">
      <c r="J67" s="292"/>
      <c r="K67" s="292"/>
      <c r="L67" s="292"/>
    </row>
    <row r="68" spans="10:12" x14ac:dyDescent="0.2">
      <c r="J68" s="292"/>
      <c r="K68" s="292"/>
      <c r="L68" s="292"/>
    </row>
  </sheetData>
  <mergeCells count="1">
    <mergeCell ref="B3:E3"/>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C8988-87D0-4E81-B4FE-101E241C75E9}">
  <sheetPr>
    <tabColor rgb="FF003766"/>
  </sheetPr>
  <dimension ref="B8:E22"/>
  <sheetViews>
    <sheetView workbookViewId="0">
      <selection activeCell="L40" sqref="L40"/>
    </sheetView>
  </sheetViews>
  <sheetFormatPr baseColWidth="10" defaultColWidth="8.83203125" defaultRowHeight="15" x14ac:dyDescent="0.2"/>
  <cols>
    <col min="1" max="4" width="2.6640625" style="296" customWidth="1"/>
    <col min="5" max="5" width="20.6640625" style="296" customWidth="1"/>
    <col min="6" max="16384" width="8.83203125" style="296"/>
  </cols>
  <sheetData>
    <row r="8" spans="2:5" ht="16" x14ac:dyDescent="0.2">
      <c r="B8" s="305" t="s">
        <v>26</v>
      </c>
    </row>
    <row r="9" spans="2:5" ht="21" x14ac:dyDescent="0.25">
      <c r="B9" s="295" t="s">
        <v>1</v>
      </c>
    </row>
    <row r="14" spans="2:5" ht="19" x14ac:dyDescent="0.25">
      <c r="B14" s="300" t="str">
        <f>_Cover!B14</f>
        <v>Renewable Cost Forecast</v>
      </c>
    </row>
    <row r="15" spans="2:5" x14ac:dyDescent="0.2">
      <c r="B15" s="330" t="str">
        <f ca="1">HYPERLINK("#"&amp;CELL("address", _Contents!B3 ), "Go to Table of Contents")</f>
        <v>Go to Table of Contents</v>
      </c>
      <c r="C15" s="330"/>
      <c r="D15" s="330"/>
      <c r="E15" s="330"/>
    </row>
    <row r="22" spans="2:2" x14ac:dyDescent="0.2">
      <c r="B22" s="298" t="s">
        <v>4</v>
      </c>
    </row>
  </sheetData>
  <mergeCells count="1">
    <mergeCell ref="B15:E15"/>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CEF14-9CEC-47F2-902D-986DC1A37B6E}">
  <dimension ref="B1:AD141"/>
  <sheetViews>
    <sheetView topLeftCell="E1" workbookViewId="0">
      <selection activeCell="H83" sqref="H83"/>
    </sheetView>
  </sheetViews>
  <sheetFormatPr baseColWidth="10" defaultColWidth="8.83203125" defaultRowHeight="16" x14ac:dyDescent="0.2"/>
  <cols>
    <col min="1" max="1" width="2.6640625" customWidth="1"/>
    <col min="2" max="2" width="2.6640625" style="3" customWidth="1"/>
    <col min="3" max="3" width="2.6640625" style="4" customWidth="1"/>
    <col min="4" max="4" width="2.6640625" style="2" customWidth="1"/>
    <col min="5" max="5" width="20.6640625" customWidth="1"/>
    <col min="6" max="6" width="2.6640625" style="13" customWidth="1"/>
    <col min="7" max="9" width="2.6640625" style="19" customWidth="1"/>
    <col min="10" max="10" width="36.83203125" style="214" customWidth="1"/>
    <col min="11" max="11" width="15.33203125" style="32" bestFit="1" customWidth="1"/>
    <col min="12" max="24" width="11" style="32" bestFit="1" customWidth="1"/>
    <col min="25" max="28" width="2.6640625" customWidth="1"/>
    <col min="29" max="30" width="18.1640625" customWidth="1"/>
  </cols>
  <sheetData>
    <row r="1" spans="2:30" ht="21" x14ac:dyDescent="0.25">
      <c r="B1" s="5" t="str">
        <f>"Energy Storage Cost Forecast for " &amp;selected.location</f>
        <v>Energy Storage Cost Forecast for Ontario</v>
      </c>
    </row>
    <row r="2" spans="2:30" ht="19" x14ac:dyDescent="0.25">
      <c r="B2" s="1" t="str">
        <f>_Cover!B14</f>
        <v>Renewable Cost Forecast</v>
      </c>
    </row>
    <row r="3" spans="2:30" ht="15" x14ac:dyDescent="0.2">
      <c r="B3" s="331" t="str">
        <f ca="1">HYPERLINK("#"&amp;CELL("address", _Contents!B3 ), "Go to Table of Contents")</f>
        <v>Go to Table of Contents</v>
      </c>
      <c r="C3" s="331"/>
      <c r="D3" s="331"/>
      <c r="E3" s="331"/>
    </row>
    <row r="4" spans="2:30" x14ac:dyDescent="0.2">
      <c r="K4" s="22">
        <v>2022</v>
      </c>
      <c r="L4" s="22">
        <v>2023</v>
      </c>
      <c r="M4" s="22">
        <v>2024</v>
      </c>
      <c r="N4" s="22">
        <v>2025</v>
      </c>
      <c r="O4" s="22">
        <v>2026</v>
      </c>
      <c r="P4" s="22">
        <v>2027</v>
      </c>
      <c r="Q4" s="22">
        <v>2028</v>
      </c>
      <c r="R4" s="22">
        <v>2029</v>
      </c>
      <c r="S4" s="22">
        <v>2030</v>
      </c>
      <c r="T4" s="22">
        <v>2031</v>
      </c>
      <c r="U4" s="22">
        <v>2032</v>
      </c>
      <c r="V4" s="22">
        <v>2033</v>
      </c>
      <c r="W4" s="22">
        <v>2034</v>
      </c>
      <c r="X4" s="22">
        <v>2035</v>
      </c>
      <c r="AC4" s="10" t="s">
        <v>27</v>
      </c>
      <c r="AD4" s="8"/>
    </row>
    <row r="5" spans="2:30" x14ac:dyDescent="0.2">
      <c r="K5" s="22"/>
      <c r="L5" s="22"/>
      <c r="M5" s="22"/>
      <c r="N5" s="22"/>
      <c r="O5" s="22"/>
      <c r="P5" s="22"/>
      <c r="Q5" s="22"/>
      <c r="R5" s="22"/>
      <c r="S5" s="22"/>
      <c r="T5" s="22"/>
      <c r="U5" s="22"/>
      <c r="V5" s="22"/>
      <c r="W5" s="22"/>
      <c r="X5" s="22"/>
      <c r="AC5" s="10"/>
      <c r="AD5" s="8"/>
    </row>
    <row r="6" spans="2:30" x14ac:dyDescent="0.2">
      <c r="G6" s="156" t="str">
        <f>"Results - "&amp;selected.location&amp;" Real 2022$CA"</f>
        <v>Results - Ontario Real 2022$CA</v>
      </c>
    </row>
    <row r="7" spans="2:30" x14ac:dyDescent="0.2">
      <c r="J7" s="14" t="s">
        <v>28</v>
      </c>
      <c r="K7" s="168" cm="1">
        <f t="array" ref="K7:X7">K22:X22*1000/K15:X15</f>
        <v>653.08479208121753</v>
      </c>
      <c r="L7" s="168">
        <v>601.29128868432531</v>
      </c>
      <c r="M7" s="168">
        <v>562.58038711074175</v>
      </c>
      <c r="N7" s="168">
        <v>531.37835999921708</v>
      </c>
      <c r="O7" s="168">
        <v>505.18830243987975</v>
      </c>
      <c r="P7" s="168">
        <v>482.63168023805906</v>
      </c>
      <c r="Q7" s="168">
        <v>462.85060978159817</v>
      </c>
      <c r="R7" s="168">
        <v>445.26772377929342</v>
      </c>
      <c r="S7" s="168">
        <v>429.47245764691519</v>
      </c>
      <c r="T7" s="168">
        <v>415.16074749972688</v>
      </c>
      <c r="U7" s="168">
        <v>402.10027201307486</v>
      </c>
      <c r="V7" s="168">
        <v>390.10909408054357</v>
      </c>
      <c r="W7" s="168">
        <v>379.04185609855898</v>
      </c>
      <c r="X7" s="168">
        <v>364.45873940645191</v>
      </c>
      <c r="AB7" s="12">
        <v>1</v>
      </c>
      <c r="AC7" s="18" t="s">
        <v>29</v>
      </c>
    </row>
    <row r="8" spans="2:30" x14ac:dyDescent="0.2">
      <c r="J8" s="14" t="s">
        <v>30</v>
      </c>
      <c r="K8" s="168" cm="1">
        <f t="array" ref="K8:X8">K22:X22*1000/K13:X13</f>
        <v>5224.6783366497402</v>
      </c>
      <c r="L8" s="168">
        <v>4810.3303094746025</v>
      </c>
      <c r="M8" s="168">
        <v>4500.643096885934</v>
      </c>
      <c r="N8" s="168">
        <v>4251.0268799937367</v>
      </c>
      <c r="O8" s="168">
        <v>4041.506419519038</v>
      </c>
      <c r="P8" s="168">
        <v>3861.0534419044725</v>
      </c>
      <c r="Q8" s="168">
        <v>3702.8048782527853</v>
      </c>
      <c r="R8" s="168">
        <v>3562.1417902343474</v>
      </c>
      <c r="S8" s="168">
        <v>3435.7796611753215</v>
      </c>
      <c r="T8" s="168">
        <v>3321.285979997815</v>
      </c>
      <c r="U8" s="168">
        <v>3216.8021761045989</v>
      </c>
      <c r="V8" s="168">
        <v>3120.8727526443486</v>
      </c>
      <c r="W8" s="168">
        <v>3032.3348487884718</v>
      </c>
      <c r="X8" s="168">
        <v>2915.6699152516153</v>
      </c>
      <c r="AB8" s="12">
        <v>2</v>
      </c>
      <c r="AC8" s="18" t="s">
        <v>31</v>
      </c>
    </row>
    <row r="9" spans="2:30" x14ac:dyDescent="0.2">
      <c r="J9" s="14" t="s">
        <v>32</v>
      </c>
      <c r="K9" s="168" cm="1">
        <f t="array" ref="K9:X9">K23:X23*1000/K13:X13</f>
        <v>26.27</v>
      </c>
      <c r="L9" s="168">
        <v>24.75362808236402</v>
      </c>
      <c r="M9" s="168">
        <v>23.866607373400342</v>
      </c>
      <c r="N9" s="168">
        <v>23.237256164728045</v>
      </c>
      <c r="O9" s="168">
        <v>22.749093442142794</v>
      </c>
      <c r="P9" s="168">
        <v>22.350235455764363</v>
      </c>
      <c r="Q9" s="168">
        <v>22.013005833354715</v>
      </c>
      <c r="R9" s="168">
        <v>21.720884247092066</v>
      </c>
      <c r="S9" s="168">
        <v>21.463214746800691</v>
      </c>
      <c r="T9" s="168">
        <v>21.232721524506818</v>
      </c>
      <c r="U9" s="168">
        <v>21.024215042516424</v>
      </c>
      <c r="V9" s="168">
        <v>20.833863538128391</v>
      </c>
      <c r="W9" s="168">
        <v>20.658757128506053</v>
      </c>
      <c r="X9" s="168">
        <v>20.496633915718736</v>
      </c>
      <c r="AB9" s="12">
        <v>3</v>
      </c>
      <c r="AC9" s="18" t="s">
        <v>33</v>
      </c>
    </row>
    <row r="10" spans="2:30" x14ac:dyDescent="0.2">
      <c r="J10" s="14" t="s">
        <v>34</v>
      </c>
      <c r="K10" s="170" cm="1">
        <f t="array" ref="K10:X10">K72:X72</f>
        <v>0.29947054236903625</v>
      </c>
      <c r="L10" s="170">
        <v>0.27527166601525749</v>
      </c>
      <c r="M10" s="170">
        <v>0.25722019188228595</v>
      </c>
      <c r="N10" s="170">
        <v>0.24265796898328165</v>
      </c>
      <c r="O10" s="170">
        <v>0.23041648508880588</v>
      </c>
      <c r="P10" s="170">
        <v>0.21985537439346081</v>
      </c>
      <c r="Q10" s="170">
        <v>0.21057760181091262</v>
      </c>
      <c r="R10" s="170">
        <v>0.20231650191041281</v>
      </c>
      <c r="S10" s="170">
        <v>0.19488266785728423</v>
      </c>
      <c r="T10" s="170">
        <v>0.18813591283612874</v>
      </c>
      <c r="U10" s="170">
        <v>0.18196915746468326</v>
      </c>
      <c r="V10" s="170">
        <v>0.17629855002897341</v>
      </c>
      <c r="W10" s="170">
        <v>0.17105709075603326</v>
      </c>
      <c r="X10" s="170">
        <v>0.16435983300573187</v>
      </c>
      <c r="AB10" s="12">
        <v>4</v>
      </c>
      <c r="AC10" s="18"/>
    </row>
    <row r="11" spans="2:30" x14ac:dyDescent="0.2">
      <c r="AB11" s="12">
        <v>5</v>
      </c>
      <c r="AC11" s="18"/>
    </row>
    <row r="12" spans="2:30" x14ac:dyDescent="0.2">
      <c r="G12" s="156" t="str">
        <f>"System Specifications- "&amp;selected.location</f>
        <v>System Specifications- Ontario</v>
      </c>
      <c r="AB12" s="12">
        <v>6</v>
      </c>
      <c r="AC12" s="18"/>
    </row>
    <row r="13" spans="2:30" x14ac:dyDescent="0.2">
      <c r="J13" s="214" t="s">
        <v>35</v>
      </c>
      <c r="K13" s="33">
        <v>100</v>
      </c>
      <c r="L13" s="33">
        <v>100</v>
      </c>
      <c r="M13" s="33">
        <v>100</v>
      </c>
      <c r="N13" s="33">
        <v>100</v>
      </c>
      <c r="O13" s="33">
        <v>100</v>
      </c>
      <c r="P13" s="33">
        <v>100</v>
      </c>
      <c r="Q13" s="33">
        <v>100</v>
      </c>
      <c r="R13" s="33">
        <v>100</v>
      </c>
      <c r="S13" s="33">
        <v>100</v>
      </c>
      <c r="T13" s="33">
        <v>100</v>
      </c>
      <c r="U13" s="33">
        <v>100</v>
      </c>
      <c r="V13" s="33">
        <v>100</v>
      </c>
      <c r="W13" s="33">
        <v>100</v>
      </c>
      <c r="X13" s="33">
        <v>100</v>
      </c>
      <c r="AB13" s="12">
        <v>7</v>
      </c>
      <c r="AC13" s="18" t="s">
        <v>36</v>
      </c>
    </row>
    <row r="14" spans="2:30" x14ac:dyDescent="0.2">
      <c r="J14" s="214" t="s">
        <v>37</v>
      </c>
      <c r="K14" s="33">
        <f t="shared" ref="K14:X14" si="0">es.selected.duration</f>
        <v>8</v>
      </c>
      <c r="L14" s="33">
        <f t="shared" si="0"/>
        <v>8</v>
      </c>
      <c r="M14" s="33">
        <f t="shared" si="0"/>
        <v>8</v>
      </c>
      <c r="N14" s="33">
        <f t="shared" si="0"/>
        <v>8</v>
      </c>
      <c r="O14" s="33">
        <f t="shared" si="0"/>
        <v>8</v>
      </c>
      <c r="P14" s="33">
        <f t="shared" si="0"/>
        <v>8</v>
      </c>
      <c r="Q14" s="33">
        <f t="shared" si="0"/>
        <v>8</v>
      </c>
      <c r="R14" s="33">
        <f t="shared" si="0"/>
        <v>8</v>
      </c>
      <c r="S14" s="33">
        <f t="shared" si="0"/>
        <v>8</v>
      </c>
      <c r="T14" s="33">
        <f t="shared" si="0"/>
        <v>8</v>
      </c>
      <c r="U14" s="33">
        <f t="shared" si="0"/>
        <v>8</v>
      </c>
      <c r="V14" s="33">
        <f t="shared" si="0"/>
        <v>8</v>
      </c>
      <c r="W14" s="33">
        <f t="shared" si="0"/>
        <v>8</v>
      </c>
      <c r="X14" s="33">
        <f t="shared" si="0"/>
        <v>8</v>
      </c>
      <c r="AB14" s="12">
        <v>8</v>
      </c>
      <c r="AC14" s="18" t="s">
        <v>36</v>
      </c>
    </row>
    <row r="15" spans="2:30" x14ac:dyDescent="0.2">
      <c r="J15" s="214" t="s">
        <v>38</v>
      </c>
      <c r="K15" s="33">
        <f>K13*K14</f>
        <v>800</v>
      </c>
      <c r="L15" s="33">
        <f t="shared" ref="L15:X15" si="1">L13*L14</f>
        <v>800</v>
      </c>
      <c r="M15" s="33">
        <f t="shared" si="1"/>
        <v>800</v>
      </c>
      <c r="N15" s="33">
        <f t="shared" si="1"/>
        <v>800</v>
      </c>
      <c r="O15" s="33">
        <f t="shared" si="1"/>
        <v>800</v>
      </c>
      <c r="P15" s="33">
        <f t="shared" si="1"/>
        <v>800</v>
      </c>
      <c r="Q15" s="33">
        <f t="shared" si="1"/>
        <v>800</v>
      </c>
      <c r="R15" s="33">
        <f t="shared" si="1"/>
        <v>800</v>
      </c>
      <c r="S15" s="33">
        <f t="shared" si="1"/>
        <v>800</v>
      </c>
      <c r="T15" s="33">
        <f t="shared" si="1"/>
        <v>800</v>
      </c>
      <c r="U15" s="33">
        <f t="shared" si="1"/>
        <v>800</v>
      </c>
      <c r="V15" s="33">
        <f t="shared" si="1"/>
        <v>800</v>
      </c>
      <c r="W15" s="33">
        <f t="shared" si="1"/>
        <v>800</v>
      </c>
      <c r="X15" s="33">
        <f t="shared" si="1"/>
        <v>800</v>
      </c>
      <c r="AB15" s="12">
        <v>9</v>
      </c>
      <c r="AC15" s="18" t="s">
        <v>36</v>
      </c>
    </row>
    <row r="16" spans="2:30" x14ac:dyDescent="0.2">
      <c r="J16" s="214" t="s">
        <v>39</v>
      </c>
      <c r="K16" s="44">
        <f>K15/K56</f>
        <v>6000</v>
      </c>
      <c r="L16" s="44">
        <f t="shared" ref="L16:X16" si="2">L15/L56</f>
        <v>5583.0815709969793</v>
      </c>
      <c r="M16" s="44">
        <f t="shared" si="2"/>
        <v>5220.3389830508468</v>
      </c>
      <c r="N16" s="44">
        <f t="shared" si="2"/>
        <v>4901.856763925729</v>
      </c>
      <c r="O16" s="44">
        <f t="shared" si="2"/>
        <v>4619.9999999999991</v>
      </c>
      <c r="P16" s="44">
        <f t="shared" si="2"/>
        <v>4368.7943262411336</v>
      </c>
      <c r="Q16" s="44">
        <f t="shared" si="2"/>
        <v>4143.4977578475327</v>
      </c>
      <c r="R16" s="44">
        <f t="shared" si="2"/>
        <v>3940.2985074626858</v>
      </c>
      <c r="S16" s="44">
        <f t="shared" si="2"/>
        <v>3756.0975609756083</v>
      </c>
      <c r="T16" s="44">
        <f t="shared" si="2"/>
        <v>3588.3495145631059</v>
      </c>
      <c r="U16" s="44">
        <f t="shared" si="2"/>
        <v>3434.9442379182146</v>
      </c>
      <c r="V16" s="44">
        <f t="shared" si="2"/>
        <v>3294.1176470588225</v>
      </c>
      <c r="W16" s="44">
        <f t="shared" si="2"/>
        <v>3164.3835616438341</v>
      </c>
      <c r="X16" s="44">
        <f t="shared" si="2"/>
        <v>2933.333333333333</v>
      </c>
      <c r="AB16" s="12">
        <v>10</v>
      </c>
      <c r="AC16" s="18" t="s">
        <v>40</v>
      </c>
    </row>
    <row r="17" spans="6:30" x14ac:dyDescent="0.2">
      <c r="J17" s="214" t="s">
        <v>41</v>
      </c>
      <c r="K17" s="61">
        <v>0.8</v>
      </c>
      <c r="L17" s="61">
        <v>0.8</v>
      </c>
      <c r="M17" s="61">
        <v>0.8</v>
      </c>
      <c r="N17" s="61">
        <v>0.8</v>
      </c>
      <c r="O17" s="61">
        <v>0.8</v>
      </c>
      <c r="P17" s="61">
        <v>0.8</v>
      </c>
      <c r="Q17" s="61">
        <v>0.8</v>
      </c>
      <c r="R17" s="61">
        <v>0.8</v>
      </c>
      <c r="S17" s="61">
        <v>0.8</v>
      </c>
      <c r="T17" s="61">
        <v>0.8</v>
      </c>
      <c r="U17" s="61">
        <v>0.8</v>
      </c>
      <c r="V17" s="61">
        <v>0.8</v>
      </c>
      <c r="W17" s="61">
        <v>0.8</v>
      </c>
      <c r="X17" s="61">
        <v>0.8</v>
      </c>
      <c r="AB17" s="12">
        <v>11</v>
      </c>
      <c r="AC17" s="18" t="s">
        <v>42</v>
      </c>
    </row>
    <row r="18" spans="6:30" x14ac:dyDescent="0.2">
      <c r="J18" s="214" t="s">
        <v>43</v>
      </c>
      <c r="K18" s="23">
        <v>12</v>
      </c>
      <c r="L18" s="23">
        <f>ROUND((16-12)/COUNT($L$4:$X$4)+K18,0)</f>
        <v>12</v>
      </c>
      <c r="M18" s="23">
        <f t="shared" ref="M18:W18" si="3">ROUND((16-12)/COUNT($L$4:$X$4)+L18,0)</f>
        <v>12</v>
      </c>
      <c r="N18" s="23">
        <f t="shared" si="3"/>
        <v>12</v>
      </c>
      <c r="O18" s="23">
        <f t="shared" si="3"/>
        <v>12</v>
      </c>
      <c r="P18" s="23">
        <f t="shared" si="3"/>
        <v>12</v>
      </c>
      <c r="Q18" s="23">
        <f t="shared" si="3"/>
        <v>12</v>
      </c>
      <c r="R18" s="23">
        <f t="shared" si="3"/>
        <v>12</v>
      </c>
      <c r="S18" s="23">
        <f t="shared" si="3"/>
        <v>12</v>
      </c>
      <c r="T18" s="23">
        <f t="shared" si="3"/>
        <v>12</v>
      </c>
      <c r="U18" s="23">
        <f t="shared" si="3"/>
        <v>12</v>
      </c>
      <c r="V18" s="23">
        <f t="shared" si="3"/>
        <v>12</v>
      </c>
      <c r="W18" s="23">
        <f t="shared" si="3"/>
        <v>12</v>
      </c>
      <c r="X18" s="23">
        <f>ROUND((16-12)/COUNT($L$4:$X$4)+W18,0)</f>
        <v>12</v>
      </c>
      <c r="AB18" s="12">
        <v>12</v>
      </c>
      <c r="AC18" s="18" t="s">
        <v>36</v>
      </c>
    </row>
    <row r="19" spans="6:30" x14ac:dyDescent="0.2">
      <c r="J19" s="214" t="s">
        <v>44</v>
      </c>
      <c r="K19" s="41" cm="1">
        <f t="array" ref="K19:X19">K64:X64*es_selected.plant.capacity_MWh*es.RTE/(es_selected.plant.capacity*8760*K65:X65)</f>
        <v>0.25055614096709983</v>
      </c>
      <c r="L19" s="41">
        <v>0.25122518273203204</v>
      </c>
      <c r="M19" s="41">
        <v>0.25189422449696425</v>
      </c>
      <c r="N19" s="41">
        <v>0.2525632662618964</v>
      </c>
      <c r="O19" s="41">
        <v>0.25323230802682861</v>
      </c>
      <c r="P19" s="41">
        <v>0.25390134979176077</v>
      </c>
      <c r="Q19" s="41">
        <v>0.25457039155669292</v>
      </c>
      <c r="R19" s="41">
        <v>0.25523943332162513</v>
      </c>
      <c r="S19" s="41">
        <v>0.25590847508655729</v>
      </c>
      <c r="T19" s="41">
        <v>0.25657751685148916</v>
      </c>
      <c r="U19" s="41">
        <v>0.25724655861642148</v>
      </c>
      <c r="V19" s="41">
        <v>0.25791560038135375</v>
      </c>
      <c r="W19" s="41">
        <v>0.25858464214628579</v>
      </c>
      <c r="X19" s="41">
        <v>0.25925368391121806</v>
      </c>
      <c r="AB19" s="12">
        <v>13</v>
      </c>
      <c r="AC19" s="18" t="s">
        <v>33</v>
      </c>
    </row>
    <row r="20" spans="6:30" x14ac:dyDescent="0.2">
      <c r="AB20" s="12">
        <v>14</v>
      </c>
      <c r="AC20" s="18"/>
    </row>
    <row r="21" spans="6:30" x14ac:dyDescent="0.2">
      <c r="G21" s="156" t="s">
        <v>45</v>
      </c>
      <c r="AB21" s="12">
        <v>15</v>
      </c>
      <c r="AC21" s="18"/>
    </row>
    <row r="22" spans="6:30" x14ac:dyDescent="0.2">
      <c r="J22" s="236" t="s">
        <v>46</v>
      </c>
      <c r="K22" s="162">
        <f t="shared" ref="K22:X22" si="4">K27+K32+K35</f>
        <v>522.46783366497402</v>
      </c>
      <c r="L22" s="162">
        <f t="shared" si="4"/>
        <v>481.03303094746025</v>
      </c>
      <c r="M22" s="162">
        <f t="shared" si="4"/>
        <v>450.06430968859343</v>
      </c>
      <c r="N22" s="162">
        <f t="shared" si="4"/>
        <v>425.10268799937364</v>
      </c>
      <c r="O22" s="162">
        <f t="shared" si="4"/>
        <v>404.15064195190382</v>
      </c>
      <c r="P22" s="162">
        <f t="shared" si="4"/>
        <v>386.10534419044723</v>
      </c>
      <c r="Q22" s="162">
        <f t="shared" si="4"/>
        <v>370.28048782527856</v>
      </c>
      <c r="R22" s="162">
        <f t="shared" si="4"/>
        <v>356.21417902343478</v>
      </c>
      <c r="S22" s="162">
        <f t="shared" si="4"/>
        <v>343.57796611753218</v>
      </c>
      <c r="T22" s="162">
        <f t="shared" si="4"/>
        <v>332.1285979997815</v>
      </c>
      <c r="U22" s="162">
        <f t="shared" si="4"/>
        <v>321.68021761045986</v>
      </c>
      <c r="V22" s="162">
        <f t="shared" si="4"/>
        <v>312.08727526443488</v>
      </c>
      <c r="W22" s="162">
        <f t="shared" si="4"/>
        <v>303.23348487884721</v>
      </c>
      <c r="X22" s="162">
        <f t="shared" si="4"/>
        <v>291.56699152516154</v>
      </c>
      <c r="AB22" s="12">
        <v>16</v>
      </c>
      <c r="AC22" s="18" t="s">
        <v>47</v>
      </c>
    </row>
    <row r="23" spans="6:30" x14ac:dyDescent="0.2">
      <c r="J23" s="236" t="s">
        <v>48</v>
      </c>
      <c r="K23" s="162">
        <f>K42</f>
        <v>2.6269999999999998</v>
      </c>
      <c r="L23" s="162">
        <f t="shared" ref="L23:X23" si="5">L42</f>
        <v>2.4753628082364019</v>
      </c>
      <c r="M23" s="162">
        <f t="shared" si="5"/>
        <v>2.3866607373400344</v>
      </c>
      <c r="N23" s="162">
        <f t="shared" si="5"/>
        <v>2.3237256164728048</v>
      </c>
      <c r="O23" s="162">
        <f t="shared" si="5"/>
        <v>2.2749093442142794</v>
      </c>
      <c r="P23" s="162">
        <f t="shared" si="5"/>
        <v>2.2350235455764365</v>
      </c>
      <c r="Q23" s="162">
        <f t="shared" si="5"/>
        <v>2.2013005833354713</v>
      </c>
      <c r="R23" s="162">
        <f t="shared" si="5"/>
        <v>2.1720884247092069</v>
      </c>
      <c r="S23" s="162">
        <f t="shared" si="5"/>
        <v>2.146321474680069</v>
      </c>
      <c r="T23" s="162">
        <f t="shared" si="5"/>
        <v>2.1232721524506819</v>
      </c>
      <c r="U23" s="162">
        <f t="shared" si="5"/>
        <v>2.1024215042516428</v>
      </c>
      <c r="V23" s="162">
        <f t="shared" si="5"/>
        <v>2.083386353812839</v>
      </c>
      <c r="W23" s="162">
        <f t="shared" si="5"/>
        <v>2.0658757128506053</v>
      </c>
      <c r="X23" s="162">
        <f t="shared" si="5"/>
        <v>2.0496633915718734</v>
      </c>
      <c r="AB23" s="12">
        <v>17</v>
      </c>
      <c r="AC23" s="18" t="s">
        <v>49</v>
      </c>
    </row>
    <row r="24" spans="6:30" x14ac:dyDescent="0.2">
      <c r="AB24" s="12">
        <v>18</v>
      </c>
      <c r="AC24" s="18"/>
    </row>
    <row r="25" spans="6:30" x14ac:dyDescent="0.2">
      <c r="H25" s="156" t="s">
        <v>50</v>
      </c>
      <c r="AB25" s="12">
        <v>19</v>
      </c>
      <c r="AC25" s="18"/>
    </row>
    <row r="26" spans="6:30" x14ac:dyDescent="0.2">
      <c r="H26" s="19" t="str">
        <f>"CAPEX (2022$M) - "&amp;selected.location</f>
        <v>CAPEX (2022$M) - Ontario</v>
      </c>
      <c r="AB26" s="12">
        <v>20</v>
      </c>
      <c r="AC26" s="18"/>
    </row>
    <row r="27" spans="6:30" x14ac:dyDescent="0.2">
      <c r="I27" s="19" t="s">
        <v>51</v>
      </c>
      <c r="K27" s="166">
        <f>(K28+K29+K30+K31)</f>
        <v>396.15984172468688</v>
      </c>
      <c r="L27" s="166">
        <f t="shared" ref="L27:X27" si="6">(L28+L29+L30+L31)</f>
        <v>363.79271151744013</v>
      </c>
      <c r="M27" s="166">
        <f t="shared" si="6"/>
        <v>339.68481540480826</v>
      </c>
      <c r="N27" s="166">
        <f t="shared" si="6"/>
        <v>320.29511746761858</v>
      </c>
      <c r="O27" s="166">
        <f t="shared" si="6"/>
        <v>304.04028022302015</v>
      </c>
      <c r="P27" s="166">
        <f t="shared" si="6"/>
        <v>290.04919988922757</v>
      </c>
      <c r="Q27" s="166">
        <f t="shared" si="6"/>
        <v>277.78179589714864</v>
      </c>
      <c r="R27" s="166">
        <f t="shared" si="6"/>
        <v>266.87587414400667</v>
      </c>
      <c r="S27" s="166">
        <f t="shared" si="6"/>
        <v>257.07470544557498</v>
      </c>
      <c r="T27" s="166">
        <f t="shared" si="6"/>
        <v>248.18869571465763</v>
      </c>
      <c r="U27" s="166">
        <f t="shared" si="6"/>
        <v>240.0733435179057</v>
      </c>
      <c r="V27" s="166">
        <f t="shared" si="6"/>
        <v>232.6157287315304</v>
      </c>
      <c r="W27" s="166">
        <f t="shared" si="6"/>
        <v>225.72580150367423</v>
      </c>
      <c r="X27" s="166">
        <f t="shared" si="6"/>
        <v>217.04904256508922</v>
      </c>
      <c r="Y27" s="167"/>
      <c r="AB27" s="12">
        <v>21</v>
      </c>
      <c r="AC27" s="18" t="s">
        <v>52</v>
      </c>
    </row>
    <row r="28" spans="6:30" x14ac:dyDescent="0.2">
      <c r="J28" s="213" t="s">
        <v>53</v>
      </c>
      <c r="K28" s="155">
        <f>K15*K49*1000/1000000/K17</f>
        <v>226.99999999999997</v>
      </c>
      <c r="L28" s="155">
        <f t="shared" ref="L28:X28" si="7">L15*L49*1000/1000000/L17</f>
        <v>205.38207749971249</v>
      </c>
      <c r="M28" s="155">
        <f t="shared" si="7"/>
        <v>190.04391739019775</v>
      </c>
      <c r="N28" s="155">
        <f t="shared" si="7"/>
        <v>178.14671612112411</v>
      </c>
      <c r="O28" s="155">
        <f t="shared" si="7"/>
        <v>168.42599488991021</v>
      </c>
      <c r="P28" s="155">
        <f t="shared" si="7"/>
        <v>160.2072421952065</v>
      </c>
      <c r="Q28" s="155">
        <f t="shared" si="7"/>
        <v>153.08783478039553</v>
      </c>
      <c r="R28" s="155">
        <f t="shared" si="7"/>
        <v>146.80807238962265</v>
      </c>
      <c r="S28" s="155">
        <f t="shared" si="7"/>
        <v>141.19063351132189</v>
      </c>
      <c r="T28" s="155">
        <f t="shared" si="7"/>
        <v>136.10904192848039</v>
      </c>
      <c r="U28" s="155">
        <f t="shared" si="7"/>
        <v>131.46991228010796</v>
      </c>
      <c r="V28" s="155">
        <f t="shared" si="7"/>
        <v>127.20232669358673</v>
      </c>
      <c r="W28" s="155">
        <f t="shared" si="7"/>
        <v>123.25115958540427</v>
      </c>
      <c r="X28" s="155">
        <f t="shared" si="7"/>
        <v>119.57271101103434</v>
      </c>
      <c r="AB28" s="12">
        <v>22</v>
      </c>
      <c r="AC28" s="18" t="s">
        <v>54</v>
      </c>
      <c r="AD28" s="213"/>
    </row>
    <row r="29" spans="6:30" x14ac:dyDescent="0.2">
      <c r="F29" s="43"/>
      <c r="G29" s="43"/>
      <c r="H29" s="43"/>
      <c r="J29" s="213" t="s">
        <v>55</v>
      </c>
      <c r="K29" s="155">
        <f t="shared" ref="K29:X29" si="8">K50*K13*1000/1000000</f>
        <v>9.1999999999999993</v>
      </c>
      <c r="L29" s="155">
        <f t="shared" si="8"/>
        <v>8.8624872929158496</v>
      </c>
      <c r="M29" s="155">
        <f t="shared" si="8"/>
        <v>8.6230182162650451</v>
      </c>
      <c r="N29" s="155">
        <f t="shared" si="8"/>
        <v>8.4372715698425402</v>
      </c>
      <c r="O29" s="155">
        <f t="shared" si="8"/>
        <v>8.2855055091808953</v>
      </c>
      <c r="P29" s="155">
        <f t="shared" si="8"/>
        <v>8.1571891332290569</v>
      </c>
      <c r="Q29" s="155">
        <f t="shared" si="8"/>
        <v>8.0460364325300908</v>
      </c>
      <c r="R29" s="155">
        <f t="shared" si="8"/>
        <v>7.9479928020967421</v>
      </c>
      <c r="S29" s="155">
        <f t="shared" si="8"/>
        <v>7.860289786107586</v>
      </c>
      <c r="T29" s="155">
        <f t="shared" si="8"/>
        <v>7.780952757704509</v>
      </c>
      <c r="U29" s="155">
        <f t="shared" si="8"/>
        <v>7.7085237254459402</v>
      </c>
      <c r="V29" s="155">
        <f t="shared" si="8"/>
        <v>7.641895474558237</v>
      </c>
      <c r="W29" s="155">
        <f t="shared" si="8"/>
        <v>7.5802073494941018</v>
      </c>
      <c r="X29" s="155">
        <f t="shared" si="8"/>
        <v>7.5227770790234363</v>
      </c>
      <c r="AB29" s="12">
        <v>23</v>
      </c>
      <c r="AC29" s="18" t="s">
        <v>56</v>
      </c>
      <c r="AD29" s="213"/>
    </row>
    <row r="30" spans="6:30" x14ac:dyDescent="0.2">
      <c r="F30" s="12"/>
      <c r="J30" s="213" t="s">
        <v>57</v>
      </c>
      <c r="K30" s="155">
        <f>SUM(K51:K52)*K15*1000/1000000</f>
        <v>36.799999999999997</v>
      </c>
      <c r="L30" s="155">
        <f t="shared" ref="L30:X30" si="9">SUM(L51:L52)*L15*1000/1000000</f>
        <v>34.94623962147773</v>
      </c>
      <c r="M30" s="155">
        <f t="shared" si="9"/>
        <v>33.861859314719538</v>
      </c>
      <c r="N30" s="155">
        <f t="shared" si="9"/>
        <v>33.092479242955449</v>
      </c>
      <c r="O30" s="155">
        <f t="shared" si="9"/>
        <v>32.495701695920097</v>
      </c>
      <c r="P30" s="155">
        <f t="shared" si="9"/>
        <v>32.008098936197271</v>
      </c>
      <c r="Q30" s="155">
        <f t="shared" si="9"/>
        <v>31.595836677040126</v>
      </c>
      <c r="R30" s="155">
        <f t="shared" si="9"/>
        <v>31.238718864433181</v>
      </c>
      <c r="S30" s="155">
        <f t="shared" si="9"/>
        <v>30.92371862943908</v>
      </c>
      <c r="T30" s="155">
        <f t="shared" si="9"/>
        <v>30.641941317397826</v>
      </c>
      <c r="U30" s="155">
        <f t="shared" si="9"/>
        <v>30.387042733163003</v>
      </c>
      <c r="V30" s="155">
        <f t="shared" si="9"/>
        <v>30.154338557674986</v>
      </c>
      <c r="W30" s="155">
        <f t="shared" si="9"/>
        <v>29.940271467399914</v>
      </c>
      <c r="X30" s="155">
        <f t="shared" si="9"/>
        <v>29.742076298517858</v>
      </c>
      <c r="AB30" s="12">
        <v>24</v>
      </c>
      <c r="AC30" s="18" t="s">
        <v>58</v>
      </c>
      <c r="AD30" s="213"/>
    </row>
    <row r="31" spans="6:30" x14ac:dyDescent="0.2">
      <c r="F31" s="12"/>
      <c r="J31" s="213" t="s">
        <v>59</v>
      </c>
      <c r="K31" s="155">
        <f>es.battery.cabinet.costs.2022*K16/1000000</f>
        <v>123.15984172468694</v>
      </c>
      <c r="L31" s="155">
        <f t="shared" ref="L31:X31" si="10">es.battery.cabinet.costs.2022*L16/1000000</f>
        <v>114.60190710333407</v>
      </c>
      <c r="M31" s="155">
        <f t="shared" si="10"/>
        <v>107.15602048362591</v>
      </c>
      <c r="N31" s="155">
        <f t="shared" si="10"/>
        <v>100.61865053369647</v>
      </c>
      <c r="O31" s="155">
        <f t="shared" si="10"/>
        <v>94.833078128008921</v>
      </c>
      <c r="P31" s="155">
        <f t="shared" si="10"/>
        <v>89.676669624594723</v>
      </c>
      <c r="Q31" s="155">
        <f t="shared" si="10"/>
        <v>85.052088007182874</v>
      </c>
      <c r="R31" s="155">
        <f t="shared" si="10"/>
        <v>80.881090087854091</v>
      </c>
      <c r="S31" s="155">
        <f t="shared" si="10"/>
        <v>77.10006351870642</v>
      </c>
      <c r="T31" s="155">
        <f t="shared" si="10"/>
        <v>73.656759711074884</v>
      </c>
      <c r="U31" s="155">
        <f t="shared" si="10"/>
        <v>70.507864779188779</v>
      </c>
      <c r="V31" s="155">
        <f t="shared" si="10"/>
        <v>67.617168005710454</v>
      </c>
      <c r="W31" s="155">
        <f t="shared" si="10"/>
        <v>64.954163101375954</v>
      </c>
      <c r="X31" s="155">
        <f t="shared" si="10"/>
        <v>60.211478176513602</v>
      </c>
      <c r="AB31" s="12">
        <v>25</v>
      </c>
      <c r="AC31" s="18" t="s">
        <v>60</v>
      </c>
      <c r="AD31" s="213"/>
    </row>
    <row r="32" spans="6:30" x14ac:dyDescent="0.2">
      <c r="F32" s="12"/>
      <c r="I32" s="19" t="s">
        <v>61</v>
      </c>
      <c r="J32" s="215"/>
      <c r="K32" s="166">
        <f>SUM(K33:K34)</f>
        <v>18.635169659130188</v>
      </c>
      <c r="L32" s="166">
        <f t="shared" ref="L32:X32" si="11">SUM(L33:L34)</f>
        <v>17.686601403760864</v>
      </c>
      <c r="M32" s="166">
        <f t="shared" si="11"/>
        <v>16.867785297730176</v>
      </c>
      <c r="N32" s="166">
        <f t="shared" si="11"/>
        <v>16.155095807025035</v>
      </c>
      <c r="O32" s="166">
        <f t="shared" si="11"/>
        <v>15.530343579545447</v>
      </c>
      <c r="P32" s="166">
        <f t="shared" si="11"/>
        <v>14.979297567082639</v>
      </c>
      <c r="Q32" s="166">
        <f t="shared" si="11"/>
        <v>14.490664428773059</v>
      </c>
      <c r="R32" s="166">
        <f t="shared" si="11"/>
        <v>14.055368238821027</v>
      </c>
      <c r="S32" s="166">
        <f t="shared" si="11"/>
        <v>13.666032228206205</v>
      </c>
      <c r="T32" s="166">
        <f t="shared" si="11"/>
        <v>13.316599400252001</v>
      </c>
      <c r="U32" s="166">
        <f t="shared" si="11"/>
        <v>13.002050461163156</v>
      </c>
      <c r="V32" s="166">
        <f t="shared" si="11"/>
        <v>12.7181911373651</v>
      </c>
      <c r="W32" s="166">
        <f t="shared" si="11"/>
        <v>12.461489750763372</v>
      </c>
      <c r="X32" s="166">
        <f t="shared" si="11"/>
        <v>11.782497928572406</v>
      </c>
      <c r="Y32" s="167"/>
      <c r="AB32" s="12">
        <v>26</v>
      </c>
      <c r="AC32" s="18"/>
    </row>
    <row r="33" spans="6:29" x14ac:dyDescent="0.2">
      <c r="F33" s="12"/>
      <c r="J33" s="213" t="s">
        <v>62</v>
      </c>
      <c r="K33" s="155">
        <f t="shared" ref="K33:X33" si="12">SUM(K53)*K16/1000000</f>
        <v>7.0199999999999999E-2</v>
      </c>
      <c r="L33" s="155">
        <f t="shared" si="12"/>
        <v>6.5322054380664657E-2</v>
      </c>
      <c r="M33" s="155">
        <f t="shared" si="12"/>
        <v>6.1077966101694907E-2</v>
      </c>
      <c r="N33" s="155">
        <f t="shared" si="12"/>
        <v>5.7351724137931034E-2</v>
      </c>
      <c r="O33" s="155">
        <f t="shared" si="12"/>
        <v>5.4053999999999991E-2</v>
      </c>
      <c r="P33" s="155">
        <f t="shared" si="12"/>
        <v>5.1114893617021269E-2</v>
      </c>
      <c r="Q33" s="155">
        <f t="shared" si="12"/>
        <v>4.8478923766816139E-2</v>
      </c>
      <c r="R33" s="155">
        <f t="shared" si="12"/>
        <v>4.6101492537313431E-2</v>
      </c>
      <c r="S33" s="155">
        <f t="shared" si="12"/>
        <v>4.3946341463414626E-2</v>
      </c>
      <c r="T33" s="155">
        <f t="shared" si="12"/>
        <v>4.1983689320388345E-2</v>
      </c>
      <c r="U33" s="155">
        <f t="shared" si="12"/>
        <v>4.018884758364312E-2</v>
      </c>
      <c r="V33" s="155">
        <f t="shared" si="12"/>
        <v>3.8541176470588225E-2</v>
      </c>
      <c r="W33" s="155">
        <f t="shared" si="12"/>
        <v>3.7023287671232863E-2</v>
      </c>
      <c r="X33" s="155">
        <f t="shared" si="12"/>
        <v>3.4320000000000003E-2</v>
      </c>
      <c r="AB33" s="12">
        <v>27</v>
      </c>
      <c r="AC33" s="18" t="s">
        <v>63</v>
      </c>
    </row>
    <row r="34" spans="6:29" x14ac:dyDescent="0.2">
      <c r="F34" s="12"/>
      <c r="J34" s="213" t="s">
        <v>64</v>
      </c>
      <c r="K34" s="155">
        <f t="shared" ref="K34:X34" si="13">K54*K55/1000/1000</f>
        <v>18.564969659130188</v>
      </c>
      <c r="L34" s="155">
        <f t="shared" si="13"/>
        <v>17.621279349380199</v>
      </c>
      <c r="M34" s="155">
        <f t="shared" si="13"/>
        <v>16.806707331628481</v>
      </c>
      <c r="N34" s="155">
        <f t="shared" si="13"/>
        <v>16.097744082887104</v>
      </c>
      <c r="O34" s="155">
        <f t="shared" si="13"/>
        <v>15.476289579545446</v>
      </c>
      <c r="P34" s="155">
        <f t="shared" si="13"/>
        <v>14.928182673465619</v>
      </c>
      <c r="Q34" s="155">
        <f t="shared" si="13"/>
        <v>14.442185505006243</v>
      </c>
      <c r="R34" s="155">
        <f t="shared" si="13"/>
        <v>14.009266746283712</v>
      </c>
      <c r="S34" s="155">
        <f t="shared" si="13"/>
        <v>13.622085886742791</v>
      </c>
      <c r="T34" s="155">
        <f t="shared" si="13"/>
        <v>13.274615710931613</v>
      </c>
      <c r="U34" s="155">
        <f t="shared" si="13"/>
        <v>12.961861613579513</v>
      </c>
      <c r="V34" s="155">
        <f t="shared" si="13"/>
        <v>12.679649960894512</v>
      </c>
      <c r="W34" s="155">
        <f t="shared" si="13"/>
        <v>12.42446646309214</v>
      </c>
      <c r="X34" s="155">
        <f t="shared" si="13"/>
        <v>11.748177928572407</v>
      </c>
      <c r="AB34" s="12">
        <v>28</v>
      </c>
      <c r="AC34" s="18" t="s">
        <v>65</v>
      </c>
    </row>
    <row r="35" spans="6:29" x14ac:dyDescent="0.2">
      <c r="F35" s="12"/>
      <c r="I35" s="19" t="s">
        <v>66</v>
      </c>
      <c r="J35" s="213"/>
      <c r="K35" s="166">
        <f>SUM(K36:K41)</f>
        <v>107.67282228115687</v>
      </c>
      <c r="L35" s="166">
        <f t="shared" ref="L35:X35" si="14">SUM(L36:L41)</f>
        <v>99.553718026259247</v>
      </c>
      <c r="M35" s="166">
        <f t="shared" si="14"/>
        <v>93.511708986054998</v>
      </c>
      <c r="N35" s="166">
        <f t="shared" si="14"/>
        <v>88.65247472473007</v>
      </c>
      <c r="O35" s="166">
        <f t="shared" si="14"/>
        <v>84.580018149338258</v>
      </c>
      <c r="P35" s="166">
        <f t="shared" si="14"/>
        <v>81.076846734136979</v>
      </c>
      <c r="Q35" s="166">
        <f t="shared" si="14"/>
        <v>78.008027499356871</v>
      </c>
      <c r="R35" s="166">
        <f t="shared" si="14"/>
        <v>75.282936640607062</v>
      </c>
      <c r="S35" s="166">
        <f t="shared" si="14"/>
        <v>72.837228443751016</v>
      </c>
      <c r="T35" s="166">
        <f t="shared" si="14"/>
        <v>70.623302884871848</v>
      </c>
      <c r="U35" s="166">
        <f t="shared" si="14"/>
        <v>68.604823631390985</v>
      </c>
      <c r="V35" s="166">
        <f t="shared" si="14"/>
        <v>66.753355395539401</v>
      </c>
      <c r="W35" s="166">
        <f t="shared" si="14"/>
        <v>65.046193624409597</v>
      </c>
      <c r="X35" s="166">
        <f t="shared" si="14"/>
        <v>62.73545103149992</v>
      </c>
      <c r="Y35" s="167"/>
      <c r="AB35" s="12">
        <v>29</v>
      </c>
      <c r="AC35" s="18"/>
    </row>
    <row r="36" spans="6:29" x14ac:dyDescent="0.2">
      <c r="F36" s="12"/>
      <c r="J36" s="213" t="s">
        <v>67</v>
      </c>
      <c r="K36" s="155">
        <f t="shared" ref="K36:X36" si="15">(8.67%*(K30+K33)+54%*K34)</f>
        <v>13.221729955930302</v>
      </c>
      <c r="L36" s="155">
        <f t="shared" si="15"/>
        <v>12.550993245962232</v>
      </c>
      <c r="M36" s="155">
        <f t="shared" si="15"/>
        <v>12.01674062132658</v>
      </c>
      <c r="N36" s="155">
        <f t="shared" si="15"/>
        <v>11.566872149606032</v>
      </c>
      <c r="O36" s="155">
        <f t="shared" si="15"/>
        <v>11.179260191790814</v>
      </c>
      <c r="P36" s="155">
        <f t="shared" si="15"/>
        <v>10.840752482716333</v>
      </c>
      <c r="Q36" s="155">
        <f t="shared" si="15"/>
        <v>10.542342335293334</v>
      </c>
      <c r="R36" s="155">
        <f t="shared" si="15"/>
        <v>10.277397967942548</v>
      </c>
      <c r="S36" s="155">
        <f t="shared" si="15"/>
        <v>10.040822931818354</v>
      </c>
      <c r="T36" s="155">
        <f t="shared" si="15"/>
        <v>9.8285887819855411</v>
      </c>
      <c r="U36" s="155">
        <f t="shared" si="15"/>
        <v>9.6374462493836717</v>
      </c>
      <c r="V36" s="155">
        <f t="shared" si="15"/>
        <v>9.464733651833459</v>
      </c>
      <c r="W36" s="155">
        <f t="shared" si="15"/>
        <v>9.3082433453344233</v>
      </c>
      <c r="X36" s="155">
        <f t="shared" si="15"/>
        <v>8.9256296405105982</v>
      </c>
      <c r="AB36" s="12">
        <v>30</v>
      </c>
      <c r="AC36" s="18" t="s">
        <v>68</v>
      </c>
    </row>
    <row r="37" spans="6:29" x14ac:dyDescent="0.2">
      <c r="F37" s="12"/>
      <c r="J37" s="213" t="s">
        <v>69</v>
      </c>
      <c r="K37" s="155" cm="1">
        <f t="array" ref="K37">INDEX(jurisdictional_inputs,_xlfn.XMATCH("Sales Tax",jurisdictional_inputs_rows),_xlfn.XMATCH(selected.location,jurisdictions))*K27</f>
        <v>51.500779424209298</v>
      </c>
      <c r="L37" s="155" cm="1">
        <f t="array" ref="L37">INDEX(jurisdictional_inputs,_xlfn.XMATCH("Sales Tax",jurisdictional_inputs_rows),_xlfn.XMATCH(selected.location,jurisdictions))*L27</f>
        <v>47.293052497267219</v>
      </c>
      <c r="M37" s="155" cm="1">
        <f t="array" ref="M37">INDEX(jurisdictional_inputs,_xlfn.XMATCH("Sales Tax",jurisdictional_inputs_rows),_xlfn.XMATCH(selected.location,jurisdictions))*M27</f>
        <v>44.159026002625076</v>
      </c>
      <c r="N37" s="155" cm="1">
        <f t="array" ref="N37">INDEX(jurisdictional_inputs,_xlfn.XMATCH("Sales Tax",jurisdictional_inputs_rows),_xlfn.XMATCH(selected.location,jurisdictions))*N27</f>
        <v>41.638365270790416</v>
      </c>
      <c r="O37" s="155" cm="1">
        <f t="array" ref="O37">INDEX(jurisdictional_inputs,_xlfn.XMATCH("Sales Tax",jurisdictional_inputs_rows),_xlfn.XMATCH(selected.location,jurisdictions))*O27</f>
        <v>39.525236428992621</v>
      </c>
      <c r="P37" s="155" cm="1">
        <f t="array" ref="P37">INDEX(jurisdictional_inputs,_xlfn.XMATCH("Sales Tax",jurisdictional_inputs_rows),_xlfn.XMATCH(selected.location,jurisdictions))*P27</f>
        <v>37.706395985599585</v>
      </c>
      <c r="Q37" s="155" cm="1">
        <f t="array" ref="Q37">INDEX(jurisdictional_inputs,_xlfn.XMATCH("Sales Tax",jurisdictional_inputs_rows),_xlfn.XMATCH(selected.location,jurisdictions))*Q27</f>
        <v>36.111633466629321</v>
      </c>
      <c r="R37" s="155" cm="1">
        <f t="array" ref="R37">INDEX(jurisdictional_inputs,_xlfn.XMATCH("Sales Tax",jurisdictional_inputs_rows),_xlfn.XMATCH(selected.location,jurisdictions))*R27</f>
        <v>34.69386363872087</v>
      </c>
      <c r="S37" s="155" cm="1">
        <f t="array" ref="S37">INDEX(jurisdictional_inputs,_xlfn.XMATCH("Sales Tax",jurisdictional_inputs_rows),_xlfn.XMATCH(selected.location,jurisdictions))*S27</f>
        <v>33.419711707924748</v>
      </c>
      <c r="T37" s="155" cm="1">
        <f t="array" ref="T37">INDEX(jurisdictional_inputs,_xlfn.XMATCH("Sales Tax",jurisdictional_inputs_rows),_xlfn.XMATCH(selected.location,jurisdictions))*T27</f>
        <v>32.264530442905496</v>
      </c>
      <c r="U37" s="155" cm="1">
        <f t="array" ref="U37">INDEX(jurisdictional_inputs,_xlfn.XMATCH("Sales Tax",jurisdictional_inputs_rows),_xlfn.XMATCH(selected.location,jurisdictions))*U27</f>
        <v>31.20953465732774</v>
      </c>
      <c r="V37" s="155" cm="1">
        <f t="array" ref="V37">INDEX(jurisdictional_inputs,_xlfn.XMATCH("Sales Tax",jurisdictional_inputs_rows),_xlfn.XMATCH(selected.location,jurisdictions))*V27</f>
        <v>30.240044735098952</v>
      </c>
      <c r="W37" s="155" cm="1">
        <f t="array" ref="W37">INDEX(jurisdictional_inputs,_xlfn.XMATCH("Sales Tax",jurisdictional_inputs_rows),_xlfn.XMATCH(selected.location,jurisdictions))*W27</f>
        <v>29.344354195477653</v>
      </c>
      <c r="X37" s="155" cm="1">
        <f t="array" ref="X37">INDEX(jurisdictional_inputs,_xlfn.XMATCH("Sales Tax",jurisdictional_inputs_rows),_xlfn.XMATCH(selected.location,jurisdictions))*X27</f>
        <v>28.216375533461601</v>
      </c>
      <c r="AB37" s="12">
        <v>31</v>
      </c>
      <c r="AC37" s="18" t="s">
        <v>70</v>
      </c>
    </row>
    <row r="38" spans="6:29" x14ac:dyDescent="0.2">
      <c r="F38" s="12"/>
      <c r="J38" s="213" t="s">
        <v>71</v>
      </c>
      <c r="K38" s="155">
        <f>1549755*USD_to_CAD/1000000</f>
        <v>2.0146815</v>
      </c>
      <c r="L38" s="155">
        <f t="shared" ref="L38:X38" si="16">1549755*USD_to_CAD/1000000</f>
        <v>2.0146815</v>
      </c>
      <c r="M38" s="155">
        <f t="shared" si="16"/>
        <v>2.0146815</v>
      </c>
      <c r="N38" s="155">
        <f t="shared" si="16"/>
        <v>2.0146815</v>
      </c>
      <c r="O38" s="155">
        <f t="shared" si="16"/>
        <v>2.0146815</v>
      </c>
      <c r="P38" s="155">
        <f t="shared" si="16"/>
        <v>2.0146815</v>
      </c>
      <c r="Q38" s="155">
        <f t="shared" si="16"/>
        <v>2.0146815</v>
      </c>
      <c r="R38" s="155">
        <f t="shared" si="16"/>
        <v>2.0146815</v>
      </c>
      <c r="S38" s="155">
        <f t="shared" si="16"/>
        <v>2.0146815</v>
      </c>
      <c r="T38" s="155">
        <f t="shared" si="16"/>
        <v>2.0146815</v>
      </c>
      <c r="U38" s="155">
        <f t="shared" si="16"/>
        <v>2.0146815</v>
      </c>
      <c r="V38" s="155">
        <f t="shared" si="16"/>
        <v>2.0146815</v>
      </c>
      <c r="W38" s="155">
        <f t="shared" si="16"/>
        <v>2.0146815</v>
      </c>
      <c r="X38" s="155">
        <f t="shared" si="16"/>
        <v>2.0146815</v>
      </c>
      <c r="AB38" s="12">
        <v>32</v>
      </c>
      <c r="AC38" s="18" t="s">
        <v>68</v>
      </c>
    </row>
    <row r="39" spans="6:29" x14ac:dyDescent="0.2">
      <c r="F39" s="12"/>
      <c r="J39" s="213" t="s">
        <v>72</v>
      </c>
      <c r="K39" s="155">
        <f t="shared" ref="K39:X39" si="17">(550000*USD_to_CAD)/1000000+1.5%*(K28+K29+K30+K32+K36+K38+K37)</f>
        <v>6.0905854080890451</v>
      </c>
      <c r="L39" s="155">
        <f t="shared" si="17"/>
        <v>5.6460419959164456</v>
      </c>
      <c r="M39" s="155">
        <f t="shared" si="17"/>
        <v>5.3288054251429617</v>
      </c>
      <c r="N39" s="155">
        <f t="shared" si="17"/>
        <v>5.0807722249201532</v>
      </c>
      <c r="O39" s="155">
        <f t="shared" si="17"/>
        <v>4.8768508569301003</v>
      </c>
      <c r="P39" s="155">
        <f t="shared" si="17"/>
        <v>4.7037048670004706</v>
      </c>
      <c r="Q39" s="155">
        <f t="shared" si="17"/>
        <v>4.553335444309921</v>
      </c>
      <c r="R39" s="155">
        <f t="shared" si="17"/>
        <v>4.4205414310245548</v>
      </c>
      <c r="S39" s="155">
        <f t="shared" si="17"/>
        <v>4.3017383544222678</v>
      </c>
      <c r="T39" s="155">
        <f t="shared" si="17"/>
        <v>4.1943450419308865</v>
      </c>
      <c r="U39" s="155">
        <f t="shared" si="17"/>
        <v>4.0964378740988714</v>
      </c>
      <c r="V39" s="155">
        <f t="shared" si="17"/>
        <v>4.0065431762517614</v>
      </c>
      <c r="W39" s="155">
        <f t="shared" si="17"/>
        <v>3.9235061079081057</v>
      </c>
      <c r="X39" s="155">
        <f t="shared" si="17"/>
        <v>3.8316512348668037</v>
      </c>
      <c r="AB39" s="12">
        <v>33</v>
      </c>
      <c r="AC39" s="18" t="s">
        <v>68</v>
      </c>
    </row>
    <row r="40" spans="6:29" x14ac:dyDescent="0.2">
      <c r="F40" s="12"/>
      <c r="J40" s="213" t="s">
        <v>73</v>
      </c>
      <c r="K40" s="155">
        <f t="shared" ref="K40:X40" si="18">3%*SUM(K28,K29,K30,K36,K37,K38)</f>
        <v>10.192115726404184</v>
      </c>
      <c r="L40" s="155">
        <f t="shared" si="18"/>
        <v>9.3314859497200651</v>
      </c>
      <c r="M40" s="155">
        <f t="shared" si="18"/>
        <v>8.7215772913540199</v>
      </c>
      <c r="N40" s="155">
        <f t="shared" si="18"/>
        <v>8.2468915756295562</v>
      </c>
      <c r="O40" s="155">
        <f t="shared" si="18"/>
        <v>7.8577914064738383</v>
      </c>
      <c r="P40" s="155">
        <f t="shared" si="18"/>
        <v>7.5280308069884621</v>
      </c>
      <c r="Q40" s="155">
        <f t="shared" si="18"/>
        <v>7.2419509557566517</v>
      </c>
      <c r="R40" s="155">
        <f t="shared" si="18"/>
        <v>6.9894218148844791</v>
      </c>
      <c r="S40" s="155">
        <f t="shared" si="18"/>
        <v>6.7634957419983506</v>
      </c>
      <c r="T40" s="155">
        <f t="shared" si="18"/>
        <v>6.5591921018542116</v>
      </c>
      <c r="U40" s="155">
        <f t="shared" si="18"/>
        <v>6.3728142343628482</v>
      </c>
      <c r="V40" s="155">
        <f t="shared" si="18"/>
        <v>6.2015406183825705</v>
      </c>
      <c r="W40" s="155">
        <f t="shared" si="18"/>
        <v>6.0431675232933113</v>
      </c>
      <c r="X40" s="155">
        <f t="shared" si="18"/>
        <v>5.879827531876435</v>
      </c>
      <c r="AB40" s="12">
        <v>34</v>
      </c>
      <c r="AC40" s="18" t="s">
        <v>68</v>
      </c>
    </row>
    <row r="41" spans="6:29" x14ac:dyDescent="0.2">
      <c r="F41" s="12"/>
      <c r="J41" s="213" t="s">
        <v>74</v>
      </c>
      <c r="K41" s="155">
        <f t="shared" ref="K41:X41" si="19">(200000*USD_to_CAD)/1000000+4.9%*SUM(K27,K32,K36,K37,K38,K39,K40)</f>
        <v>24.652930266524049</v>
      </c>
      <c r="L41" s="155">
        <f t="shared" si="19"/>
        <v>22.717462837393281</v>
      </c>
      <c r="M41" s="155">
        <f t="shared" si="19"/>
        <v>21.270878145606368</v>
      </c>
      <c r="N41" s="155">
        <f t="shared" si="19"/>
        <v>20.104892003783899</v>
      </c>
      <c r="O41" s="155">
        <f t="shared" si="19"/>
        <v>19.126197765150899</v>
      </c>
      <c r="P41" s="155">
        <f t="shared" si="19"/>
        <v>18.283281091832137</v>
      </c>
      <c r="Q41" s="155">
        <f t="shared" si="19"/>
        <v>17.544083797367637</v>
      </c>
      <c r="R41" s="155">
        <f t="shared" si="19"/>
        <v>16.887030288034609</v>
      </c>
      <c r="S41" s="155">
        <f t="shared" si="19"/>
        <v>16.296778207587298</v>
      </c>
      <c r="T41" s="155">
        <f t="shared" si="19"/>
        <v>15.761965016195703</v>
      </c>
      <c r="U41" s="155">
        <f t="shared" si="19"/>
        <v>15.273909116217858</v>
      </c>
      <c r="V41" s="155">
        <f t="shared" si="19"/>
        <v>14.82581171397265</v>
      </c>
      <c r="W41" s="155">
        <f t="shared" si="19"/>
        <v>14.412240952396106</v>
      </c>
      <c r="X41" s="155">
        <f t="shared" si="19"/>
        <v>13.867285590784478</v>
      </c>
      <c r="AB41" s="12">
        <v>35</v>
      </c>
      <c r="AC41" s="18" t="s">
        <v>68</v>
      </c>
    </row>
    <row r="42" spans="6:29" x14ac:dyDescent="0.2">
      <c r="H42" s="19" t="str">
        <f>"OPEX (2022$M/year) - "&amp;selected.location</f>
        <v>OPEX (2022$M/year) - Ontario</v>
      </c>
      <c r="J42" s="213"/>
      <c r="K42" s="166">
        <f>SUM(K43:K45)</f>
        <v>2.6269999999999998</v>
      </c>
      <c r="L42" s="166">
        <f t="shared" ref="L42:X42" si="20">SUM(L43:L45)</f>
        <v>2.4753628082364019</v>
      </c>
      <c r="M42" s="166">
        <f t="shared" si="20"/>
        <v>2.3866607373400344</v>
      </c>
      <c r="N42" s="166">
        <f t="shared" si="20"/>
        <v>2.3237256164728048</v>
      </c>
      <c r="O42" s="166">
        <f t="shared" si="20"/>
        <v>2.2749093442142794</v>
      </c>
      <c r="P42" s="166">
        <f t="shared" si="20"/>
        <v>2.2350235455764365</v>
      </c>
      <c r="Q42" s="166">
        <f t="shared" si="20"/>
        <v>2.2013005833354713</v>
      </c>
      <c r="R42" s="166">
        <f t="shared" si="20"/>
        <v>2.1720884247092069</v>
      </c>
      <c r="S42" s="166">
        <f t="shared" si="20"/>
        <v>2.146321474680069</v>
      </c>
      <c r="T42" s="166">
        <f t="shared" si="20"/>
        <v>2.1232721524506819</v>
      </c>
      <c r="U42" s="166">
        <f t="shared" si="20"/>
        <v>2.1024215042516428</v>
      </c>
      <c r="V42" s="166">
        <f t="shared" si="20"/>
        <v>2.083386353812839</v>
      </c>
      <c r="W42" s="166">
        <f t="shared" si="20"/>
        <v>2.0658757128506053</v>
      </c>
      <c r="X42" s="166">
        <f t="shared" si="20"/>
        <v>2.0496633915718734</v>
      </c>
      <c r="AB42" s="12">
        <v>36</v>
      </c>
      <c r="AC42" s="18"/>
    </row>
    <row r="43" spans="6:29" x14ac:dyDescent="0.2">
      <c r="J43" s="213" t="s">
        <v>75</v>
      </c>
      <c r="K43" s="155" cm="1">
        <f t="array" ref="K43:X43">_xlfn.ANCHORARRAY(K58)*K13:X13*1000/1000000</f>
        <v>1.2</v>
      </c>
      <c r="L43" s="155">
        <v>1.048362808236402</v>
      </c>
      <c r="M43" s="155">
        <v>0.95966073734003443</v>
      </c>
      <c r="N43" s="155">
        <v>0.89672561647280447</v>
      </c>
      <c r="O43" s="155">
        <v>0.84790934421427977</v>
      </c>
      <c r="P43" s="155">
        <v>0.80802354557643674</v>
      </c>
      <c r="Q43" s="155">
        <v>0.77430058333547114</v>
      </c>
      <c r="R43" s="155">
        <v>0.74508842470920666</v>
      </c>
      <c r="S43" s="155">
        <v>0.71932147468006891</v>
      </c>
      <c r="T43" s="155">
        <v>0.69627215245068186</v>
      </c>
      <c r="U43" s="155">
        <v>0.6754215042516426</v>
      </c>
      <c r="V43" s="155">
        <v>0.65638635381283894</v>
      </c>
      <c r="W43" s="155">
        <v>0.63887571285060551</v>
      </c>
      <c r="X43" s="155">
        <v>0.62266339157187323</v>
      </c>
      <c r="AB43" s="12">
        <v>37</v>
      </c>
      <c r="AC43" s="18" t="s">
        <v>76</v>
      </c>
    </row>
    <row r="44" spans="6:29" x14ac:dyDescent="0.2">
      <c r="J44" s="213" t="s">
        <v>77</v>
      </c>
      <c r="K44" s="155" cm="1">
        <f t="array" ref="K44:X44">_xlfn.ANCHORARRAY(K59)*K13:X13*1000/1000000</f>
        <v>1.3</v>
      </c>
      <c r="L44" s="155">
        <v>1.3</v>
      </c>
      <c r="M44" s="155">
        <v>1.3</v>
      </c>
      <c r="N44" s="155">
        <v>1.3</v>
      </c>
      <c r="O44" s="155">
        <v>1.3</v>
      </c>
      <c r="P44" s="155">
        <v>1.3</v>
      </c>
      <c r="Q44" s="155">
        <v>1.3</v>
      </c>
      <c r="R44" s="155">
        <v>1.3</v>
      </c>
      <c r="S44" s="155">
        <v>1.3</v>
      </c>
      <c r="T44" s="155">
        <v>1.3</v>
      </c>
      <c r="U44" s="155">
        <v>1.3</v>
      </c>
      <c r="V44" s="155">
        <v>1.3</v>
      </c>
      <c r="W44" s="155">
        <v>1.3</v>
      </c>
      <c r="X44" s="155">
        <v>1.3</v>
      </c>
      <c r="AB44" s="12">
        <v>38</v>
      </c>
      <c r="AC44" s="18" t="s">
        <v>78</v>
      </c>
    </row>
    <row r="45" spans="6:29" x14ac:dyDescent="0.2">
      <c r="J45" s="213" t="s">
        <v>79</v>
      </c>
      <c r="K45" s="155" cm="1">
        <f t="array" ref="K45:X45">_xlfn.ANCHORARRAY(K60)*K13:X13*1000/1000000</f>
        <v>0.127</v>
      </c>
      <c r="L45" s="155">
        <v>0.127</v>
      </c>
      <c r="M45" s="155">
        <v>0.127</v>
      </c>
      <c r="N45" s="155">
        <v>0.127</v>
      </c>
      <c r="O45" s="155">
        <v>0.127</v>
      </c>
      <c r="P45" s="155">
        <v>0.127</v>
      </c>
      <c r="Q45" s="155">
        <v>0.127</v>
      </c>
      <c r="R45" s="155">
        <v>0.127</v>
      </c>
      <c r="S45" s="155">
        <v>0.127</v>
      </c>
      <c r="T45" s="155">
        <v>0.127</v>
      </c>
      <c r="U45" s="155">
        <v>0.127</v>
      </c>
      <c r="V45" s="155">
        <v>0.127</v>
      </c>
      <c r="W45" s="155">
        <v>0.127</v>
      </c>
      <c r="X45" s="155">
        <v>0.127</v>
      </c>
      <c r="AB45" s="12">
        <v>39</v>
      </c>
      <c r="AC45" s="18" t="s">
        <v>80</v>
      </c>
    </row>
    <row r="46" spans="6:29" x14ac:dyDescent="0.2">
      <c r="AB46" s="12">
        <v>40</v>
      </c>
      <c r="AC46" s="18"/>
    </row>
    <row r="47" spans="6:29" x14ac:dyDescent="0.2">
      <c r="H47" s="156" t="s">
        <v>81</v>
      </c>
      <c r="AB47" s="12">
        <v>41</v>
      </c>
      <c r="AC47" s="18"/>
    </row>
    <row r="48" spans="6:29" x14ac:dyDescent="0.2">
      <c r="F48" s="12"/>
      <c r="I48" s="19" t="s">
        <v>82</v>
      </c>
      <c r="AB48" s="12">
        <v>42</v>
      </c>
      <c r="AC48" s="18"/>
    </row>
    <row r="49" spans="6:29" x14ac:dyDescent="0.2">
      <c r="F49" s="12"/>
      <c r="J49" s="213" t="s">
        <v>83</v>
      </c>
      <c r="K49" s="155" cm="1">
        <f t="array" ref="K49:X49">_xlfn.IFS(selected.location="Canada",forecast_es.battery_costs_CA,selected.location="Alberta",forecast_es.battery_costs_AB,selected.location="Ontario",forecast_es.battery_costs_ON)</f>
        <v>227</v>
      </c>
      <c r="L49" s="155">
        <v>205.38207749971247</v>
      </c>
      <c r="M49" s="155">
        <v>190.04391739019778</v>
      </c>
      <c r="N49" s="155">
        <v>178.14671612112414</v>
      </c>
      <c r="O49" s="155">
        <v>168.42599488991021</v>
      </c>
      <c r="P49" s="155">
        <v>160.20724219520653</v>
      </c>
      <c r="Q49" s="155">
        <v>153.08783478039555</v>
      </c>
      <c r="R49" s="155">
        <v>146.80807238962265</v>
      </c>
      <c r="S49" s="155">
        <v>141.19063351132189</v>
      </c>
      <c r="T49" s="155">
        <v>136.10904192848042</v>
      </c>
      <c r="U49" s="155">
        <v>131.46991228010796</v>
      </c>
      <c r="V49" s="155">
        <v>127.20232669358673</v>
      </c>
      <c r="W49" s="155">
        <v>123.25115958540427</v>
      </c>
      <c r="X49" s="155">
        <v>119.57271101103436</v>
      </c>
      <c r="AB49" s="12">
        <v>43</v>
      </c>
      <c r="AC49" s="18" t="s">
        <v>84</v>
      </c>
    </row>
    <row r="50" spans="6:29" x14ac:dyDescent="0.2">
      <c r="F50" s="12"/>
      <c r="J50" s="213" t="s">
        <v>85</v>
      </c>
      <c r="K50" s="155" cm="1">
        <f t="array" ref="K50:X50">_xlfn.IFS(selected.location="Canada",forecast_es.battery.inverter.costs_CA,selected.location="Alberta",forecast_es.battery.inverter.costs_AB,selected.location="Ontario",forecast_es.battery.inverter.costs_ON)</f>
        <v>92</v>
      </c>
      <c r="L50" s="155">
        <v>88.624872929158485</v>
      </c>
      <c r="M50" s="155">
        <v>86.230182162650451</v>
      </c>
      <c r="N50" s="155">
        <v>84.372715698425395</v>
      </c>
      <c r="O50" s="155">
        <v>82.85505509180895</v>
      </c>
      <c r="P50" s="155">
        <v>81.571891332290562</v>
      </c>
      <c r="Q50" s="155">
        <v>80.460364325300915</v>
      </c>
      <c r="R50" s="155">
        <v>79.479928020967421</v>
      </c>
      <c r="S50" s="155">
        <v>78.60289786107586</v>
      </c>
      <c r="T50" s="155">
        <v>77.809527577045088</v>
      </c>
      <c r="U50" s="155">
        <v>77.0852372544594</v>
      </c>
      <c r="V50" s="155">
        <v>76.418954745582369</v>
      </c>
      <c r="W50" s="155">
        <v>75.802073494941013</v>
      </c>
      <c r="X50" s="155">
        <v>75.227770790234359</v>
      </c>
      <c r="AB50" s="12">
        <v>44</v>
      </c>
      <c r="AC50" s="18" t="s">
        <v>84</v>
      </c>
    </row>
    <row r="51" spans="6:29" x14ac:dyDescent="0.2">
      <c r="F51" s="12"/>
      <c r="J51" s="213" t="s">
        <v>86</v>
      </c>
      <c r="K51" s="155" cm="1">
        <f t="array" ref="K51:X51">_xlfn.IFS(selected.location="Canada",forecast_es.BOS.electrical.costs_CA,selected.location="Alberta",forecast_es.BOS.electrical.costs_AB,selected.location="Ontario",forecast_es.BOS.electrical.costs_ON)</f>
        <v>13.999999999999998</v>
      </c>
      <c r="L51" s="155">
        <v>13.372323788164451</v>
      </c>
      <c r="M51" s="155">
        <v>13.005156741645944</v>
      </c>
      <c r="N51" s="155">
        <v>12.7446475763289</v>
      </c>
      <c r="O51" s="155">
        <v>12.542580969246563</v>
      </c>
      <c r="P51" s="155">
        <v>12.377480529810395</v>
      </c>
      <c r="Q51" s="155">
        <v>12.237890097244996</v>
      </c>
      <c r="R51" s="155">
        <v>12.116971364493349</v>
      </c>
      <c r="S51" s="155">
        <v>12.010313483291887</v>
      </c>
      <c r="T51" s="155">
        <v>11.914904757411014</v>
      </c>
      <c r="U51" s="155">
        <v>11.828597066509616</v>
      </c>
      <c r="V51" s="155">
        <v>11.749804317974842</v>
      </c>
      <c r="W51" s="155">
        <v>11.677322015591386</v>
      </c>
      <c r="X51" s="155">
        <v>11.610213885409445</v>
      </c>
      <c r="AB51" s="12">
        <v>45</v>
      </c>
      <c r="AC51" s="18" t="s">
        <v>84</v>
      </c>
    </row>
    <row r="52" spans="6:29" x14ac:dyDescent="0.2">
      <c r="F52" s="12"/>
      <c r="J52" s="213" t="s">
        <v>87</v>
      </c>
      <c r="K52" s="155" cm="1">
        <f t="array" ref="K52:X52">_xlfn.IFS(selected.location="Canada",forecast_es.BOS.Structural.costs_CA,selected.location="Alberta",forecast_es.BOS.Structural.costs_AB,selected.location="Ontario",forecast_es.BOS.Structural.costs_ON)</f>
        <v>32</v>
      </c>
      <c r="L52" s="155">
        <v>30.310475738682708</v>
      </c>
      <c r="M52" s="155">
        <v>29.322167401753482</v>
      </c>
      <c r="N52" s="155">
        <v>28.620951477365416</v>
      </c>
      <c r="O52" s="155">
        <v>28.077046150653562</v>
      </c>
      <c r="P52" s="155">
        <v>27.632643140436191</v>
      </c>
      <c r="Q52" s="155">
        <v>27.256905749055161</v>
      </c>
      <c r="R52" s="155">
        <v>26.931427216048125</v>
      </c>
      <c r="S52" s="155">
        <v>26.644334803506961</v>
      </c>
      <c r="T52" s="155">
        <v>26.387521889336266</v>
      </c>
      <c r="U52" s="155">
        <v>26.155206349944134</v>
      </c>
      <c r="V52" s="155">
        <v>25.943118879118895</v>
      </c>
      <c r="W52" s="155">
        <v>25.748017318658505</v>
      </c>
      <c r="X52" s="155">
        <v>25.567381487737872</v>
      </c>
      <c r="AB52" s="12">
        <v>46</v>
      </c>
      <c r="AC52" s="18" t="s">
        <v>84</v>
      </c>
    </row>
    <row r="53" spans="6:29" x14ac:dyDescent="0.2">
      <c r="F53" s="12"/>
      <c r="J53" s="213" t="s">
        <v>88</v>
      </c>
      <c r="K53" s="163">
        <f t="shared" ref="K53:X53" si="21">9*USD_to_CAD</f>
        <v>11.700000000000001</v>
      </c>
      <c r="L53" s="163">
        <f t="shared" si="21"/>
        <v>11.700000000000001</v>
      </c>
      <c r="M53" s="163">
        <f t="shared" si="21"/>
        <v>11.700000000000001</v>
      </c>
      <c r="N53" s="163">
        <f t="shared" si="21"/>
        <v>11.700000000000001</v>
      </c>
      <c r="O53" s="163">
        <f t="shared" si="21"/>
        <v>11.700000000000001</v>
      </c>
      <c r="P53" s="163">
        <f t="shared" si="21"/>
        <v>11.700000000000001</v>
      </c>
      <c r="Q53" s="163">
        <f t="shared" si="21"/>
        <v>11.700000000000001</v>
      </c>
      <c r="R53" s="163">
        <f t="shared" si="21"/>
        <v>11.700000000000001</v>
      </c>
      <c r="S53" s="163">
        <f t="shared" si="21"/>
        <v>11.700000000000001</v>
      </c>
      <c r="T53" s="163">
        <f t="shared" si="21"/>
        <v>11.700000000000001</v>
      </c>
      <c r="U53" s="163">
        <f t="shared" si="21"/>
        <v>11.700000000000001</v>
      </c>
      <c r="V53" s="163">
        <f t="shared" si="21"/>
        <v>11.700000000000001</v>
      </c>
      <c r="W53" s="163">
        <f t="shared" si="21"/>
        <v>11.700000000000001</v>
      </c>
      <c r="X53" s="163">
        <f t="shared" si="21"/>
        <v>11.700000000000001</v>
      </c>
      <c r="AB53" s="12">
        <v>47</v>
      </c>
      <c r="AC53" s="18" t="s">
        <v>84</v>
      </c>
    </row>
    <row r="54" spans="6:29" x14ac:dyDescent="0.2">
      <c r="F54" s="12"/>
      <c r="J54" s="213" t="s">
        <v>89</v>
      </c>
      <c r="K54" s="273">
        <f>95*K16</f>
        <v>570000</v>
      </c>
      <c r="L54" s="273">
        <f t="shared" ref="L54:X54" si="22">95*L16</f>
        <v>530392.74924471299</v>
      </c>
      <c r="M54" s="273">
        <f t="shared" si="22"/>
        <v>495932.20338983042</v>
      </c>
      <c r="N54" s="273">
        <f t="shared" si="22"/>
        <v>465676.39257294423</v>
      </c>
      <c r="O54" s="273">
        <f t="shared" si="22"/>
        <v>438899.99999999994</v>
      </c>
      <c r="P54" s="273">
        <f t="shared" si="22"/>
        <v>415035.4609929077</v>
      </c>
      <c r="Q54" s="273">
        <f t="shared" si="22"/>
        <v>393632.28699551563</v>
      </c>
      <c r="R54" s="273">
        <f t="shared" si="22"/>
        <v>374328.35820895515</v>
      </c>
      <c r="S54" s="273">
        <f t="shared" si="22"/>
        <v>356829.26829268277</v>
      </c>
      <c r="T54" s="273">
        <f t="shared" si="22"/>
        <v>340893.20388349507</v>
      </c>
      <c r="U54" s="273">
        <f t="shared" si="22"/>
        <v>326319.70260223036</v>
      </c>
      <c r="V54" s="273">
        <f t="shared" si="22"/>
        <v>312941.17647058814</v>
      </c>
      <c r="W54" s="273">
        <f t="shared" si="22"/>
        <v>300616.43835616426</v>
      </c>
      <c r="X54" s="273">
        <f t="shared" si="22"/>
        <v>278666.66666666663</v>
      </c>
      <c r="AB54" s="12">
        <v>48</v>
      </c>
      <c r="AC54" s="18" t="s">
        <v>84</v>
      </c>
    </row>
    <row r="55" spans="6:29" x14ac:dyDescent="0.2">
      <c r="F55" s="12"/>
      <c r="J55" s="213" t="s">
        <v>90</v>
      </c>
      <c r="K55" s="155" cm="1">
        <f t="array" ref="K55:X55">_xlfn.IFS(selected.location="Canada",forecast_solar.wages_CA,selected.location="Alberta",forecast_solar.wages_AB,selected.location="Ontario",forecast_solar.wages_ON)</f>
        <v>32.570122209000324</v>
      </c>
      <c r="L55" s="155">
        <v>33.223077378929403</v>
      </c>
      <c r="M55" s="155">
        <v>33.889122780795638</v>
      </c>
      <c r="N55" s="155">
        <v>34.568520843292539</v>
      </c>
      <c r="O55" s="155">
        <v>35.261539256198333</v>
      </c>
      <c r="P55" s="155">
        <v>35.968451075848478</v>
      </c>
      <c r="Q55" s="155">
        <v>36.689534832722636</v>
      </c>
      <c r="R55" s="155">
        <v>37.425074641188552</v>
      </c>
      <c r="S55" s="155">
        <v>38.175360311445978</v>
      </c>
      <c r="T55" s="155">
        <v>38.940687463714873</v>
      </c>
      <c r="U55" s="155">
        <v>39.72135764471281</v>
      </c>
      <c r="V55" s="155">
        <v>40.517678446467436</v>
      </c>
      <c r="W55" s="155">
        <v>41.329963627510892</v>
      </c>
      <c r="X55" s="155">
        <v>42.15853323650385</v>
      </c>
      <c r="AB55" s="12">
        <v>49</v>
      </c>
      <c r="AC55" s="18" t="s">
        <v>84</v>
      </c>
    </row>
    <row r="56" spans="6:29" x14ac:dyDescent="0.2">
      <c r="F56" s="12"/>
      <c r="J56" s="213" t="s">
        <v>91</v>
      </c>
      <c r="K56" s="179" cm="1">
        <f t="array" ref="K56:X56">forecast_es.footprint/1000</f>
        <v>0.13333333333333333</v>
      </c>
      <c r="L56" s="179">
        <v>0.14329004329004327</v>
      </c>
      <c r="M56" s="179">
        <v>0.15324675324675327</v>
      </c>
      <c r="N56" s="179">
        <v>0.16320346320346321</v>
      </c>
      <c r="O56" s="179">
        <v>0.17316017316017318</v>
      </c>
      <c r="P56" s="179">
        <v>0.18311688311688315</v>
      </c>
      <c r="Q56" s="179">
        <v>0.19307359307359312</v>
      </c>
      <c r="R56" s="179">
        <v>0.20303030303030306</v>
      </c>
      <c r="S56" s="179">
        <v>0.21298701298701306</v>
      </c>
      <c r="T56" s="179">
        <v>0.222943722943723</v>
      </c>
      <c r="U56" s="179">
        <v>0.23290043290043297</v>
      </c>
      <c r="V56" s="179">
        <v>0.24285714285714294</v>
      </c>
      <c r="W56" s="179">
        <v>0.25281385281385294</v>
      </c>
      <c r="X56" s="179">
        <v>0.27272727272727276</v>
      </c>
      <c r="AB56" s="12">
        <v>50</v>
      </c>
      <c r="AC56" s="18" t="s">
        <v>84</v>
      </c>
    </row>
    <row r="57" spans="6:29" x14ac:dyDescent="0.2">
      <c r="I57" s="19" t="s">
        <v>92</v>
      </c>
      <c r="J57" s="213"/>
      <c r="AB57" s="12">
        <v>51</v>
      </c>
      <c r="AC57" s="18"/>
    </row>
    <row r="58" spans="6:29" x14ac:dyDescent="0.2">
      <c r="F58" s="12"/>
      <c r="J58" s="213" t="s">
        <v>93</v>
      </c>
      <c r="K58" s="155" cm="1">
        <f t="array" ref="K58:X58">_xlfn.IFS(selected.location="Canada",forecast_es.battery_fixedOM_CA,selected.location="Alberta",forecast_es.battery_fixedOM_AB,selected.location="Ontario",forecast_es.battery_fixedOM_ON)</f>
        <v>12</v>
      </c>
      <c r="L58" s="155">
        <v>10.483628082364021</v>
      </c>
      <c r="M58" s="155">
        <v>9.5966073734003441</v>
      </c>
      <c r="N58" s="155">
        <v>8.9672561647280435</v>
      </c>
      <c r="O58" s="155">
        <v>8.4790934421427977</v>
      </c>
      <c r="P58" s="155">
        <v>8.0802354557643685</v>
      </c>
      <c r="Q58" s="155">
        <v>7.7430058333547107</v>
      </c>
      <c r="R58" s="155">
        <v>7.4508842470920671</v>
      </c>
      <c r="S58" s="155">
        <v>7.19321474680069</v>
      </c>
      <c r="T58" s="155">
        <v>6.9627215245068195</v>
      </c>
      <c r="U58" s="155">
        <v>6.7542150425164271</v>
      </c>
      <c r="V58" s="155">
        <v>6.5638635381283894</v>
      </c>
      <c r="W58" s="155">
        <v>6.3887571285060547</v>
      </c>
      <c r="X58" s="155">
        <v>6.2266339157187325</v>
      </c>
      <c r="AB58" s="12">
        <v>52</v>
      </c>
      <c r="AC58" s="18" t="s">
        <v>84</v>
      </c>
    </row>
    <row r="59" spans="6:29" x14ac:dyDescent="0.2">
      <c r="J59" s="213" t="s">
        <v>94</v>
      </c>
      <c r="K59" s="158" cm="1">
        <f t="array" ref="K59:X59">_xlfn.IFS(selected.location="Canada",forecast_es.land.costs_CA,selected.location="Alberta",forecast_es.land.costs_AB,selected.location="Ontario",forecast_es.land.costs_ON)</f>
        <v>13</v>
      </c>
      <c r="L59" s="158">
        <v>13</v>
      </c>
      <c r="M59" s="158">
        <v>13</v>
      </c>
      <c r="N59" s="158">
        <v>13</v>
      </c>
      <c r="O59" s="158">
        <v>13</v>
      </c>
      <c r="P59" s="158">
        <v>13</v>
      </c>
      <c r="Q59" s="158">
        <v>13</v>
      </c>
      <c r="R59" s="158">
        <v>13</v>
      </c>
      <c r="S59" s="158">
        <v>13</v>
      </c>
      <c r="T59" s="158">
        <v>13</v>
      </c>
      <c r="U59" s="158">
        <v>13</v>
      </c>
      <c r="V59" s="158">
        <v>13</v>
      </c>
      <c r="W59" s="158">
        <v>13</v>
      </c>
      <c r="X59" s="158">
        <v>13</v>
      </c>
      <c r="AB59" s="12">
        <v>53</v>
      </c>
      <c r="AC59" s="18" t="s">
        <v>84</v>
      </c>
    </row>
    <row r="60" spans="6:29" x14ac:dyDescent="0.2">
      <c r="F60" s="12"/>
      <c r="J60" s="213" t="s">
        <v>95</v>
      </c>
      <c r="K60" s="158" cm="1">
        <f t="array" ref="K60:X60">forecast_es.admin.costs_CA</f>
        <v>1.27</v>
      </c>
      <c r="L60" s="158">
        <v>1.27</v>
      </c>
      <c r="M60" s="158">
        <v>1.27</v>
      </c>
      <c r="N60" s="158">
        <v>1.27</v>
      </c>
      <c r="O60" s="158">
        <v>1.27</v>
      </c>
      <c r="P60" s="158">
        <v>1.27</v>
      </c>
      <c r="Q60" s="158">
        <v>1.27</v>
      </c>
      <c r="R60" s="158">
        <v>1.27</v>
      </c>
      <c r="S60" s="158">
        <v>1.27</v>
      </c>
      <c r="T60" s="158">
        <v>1.27</v>
      </c>
      <c r="U60" s="158">
        <v>1.27</v>
      </c>
      <c r="V60" s="158">
        <v>1.27</v>
      </c>
      <c r="W60" s="158">
        <v>1.27</v>
      </c>
      <c r="X60" s="158">
        <v>1.27</v>
      </c>
      <c r="AB60" s="12">
        <v>54</v>
      </c>
      <c r="AC60" s="18" t="s">
        <v>84</v>
      </c>
    </row>
    <row r="61" spans="6:29" x14ac:dyDescent="0.2">
      <c r="F61" s="12"/>
      <c r="AB61" s="12">
        <v>55</v>
      </c>
      <c r="AC61" s="18"/>
    </row>
    <row r="62" spans="6:29" x14ac:dyDescent="0.2">
      <c r="H62" s="156" t="s">
        <v>96</v>
      </c>
      <c r="J62" s="211"/>
      <c r="AB62" s="12">
        <v>56</v>
      </c>
      <c r="AC62" s="18"/>
    </row>
    <row r="63" spans="6:29" x14ac:dyDescent="0.2">
      <c r="F63" s="12"/>
      <c r="I63" s="19" t="s">
        <v>44</v>
      </c>
      <c r="J63" s="160"/>
      <c r="K63" s="42"/>
      <c r="L63" s="42"/>
      <c r="M63" s="42"/>
      <c r="N63" s="42"/>
      <c r="O63" s="42"/>
      <c r="P63" s="42"/>
      <c r="Q63" s="42"/>
      <c r="R63" s="42"/>
      <c r="S63" s="42"/>
      <c r="T63" s="42"/>
      <c r="U63" s="42"/>
      <c r="V63" s="42"/>
      <c r="W63" s="42"/>
      <c r="X63" s="42"/>
      <c r="AB63" s="12">
        <v>57</v>
      </c>
      <c r="AC63" s="18"/>
    </row>
    <row r="64" spans="6:29" x14ac:dyDescent="0.2">
      <c r="F64" s="12"/>
      <c r="J64" s="160" t="s">
        <v>97</v>
      </c>
      <c r="K64" s="163">
        <v>300</v>
      </c>
      <c r="L64" s="163">
        <v>300</v>
      </c>
      <c r="M64" s="163">
        <v>300</v>
      </c>
      <c r="N64" s="163">
        <v>300</v>
      </c>
      <c r="O64" s="163">
        <v>300</v>
      </c>
      <c r="P64" s="163">
        <v>300</v>
      </c>
      <c r="Q64" s="163">
        <v>300</v>
      </c>
      <c r="R64" s="163">
        <v>300</v>
      </c>
      <c r="S64" s="163">
        <v>300</v>
      </c>
      <c r="T64" s="163">
        <v>300</v>
      </c>
      <c r="U64" s="163">
        <v>300</v>
      </c>
      <c r="V64" s="163">
        <v>300</v>
      </c>
      <c r="W64" s="163">
        <v>300</v>
      </c>
      <c r="X64" s="163">
        <v>300</v>
      </c>
      <c r="AB64" s="12">
        <v>58</v>
      </c>
      <c r="AC64" s="18" t="s">
        <v>36</v>
      </c>
    </row>
    <row r="65" spans="6:29" x14ac:dyDescent="0.2">
      <c r="F65" s="12"/>
      <c r="J65" s="213" t="s">
        <v>98</v>
      </c>
      <c r="K65" s="274">
        <v>0.91</v>
      </c>
      <c r="L65" s="274">
        <v>0.91</v>
      </c>
      <c r="M65" s="274">
        <v>0.91</v>
      </c>
      <c r="N65" s="274">
        <v>0.91</v>
      </c>
      <c r="O65" s="274">
        <v>0.91</v>
      </c>
      <c r="P65" s="274">
        <v>0.91</v>
      </c>
      <c r="Q65" s="274">
        <v>0.91</v>
      </c>
      <c r="R65" s="274">
        <v>0.91</v>
      </c>
      <c r="S65" s="274">
        <v>0.91</v>
      </c>
      <c r="T65" s="274">
        <v>0.91</v>
      </c>
      <c r="U65" s="274">
        <v>0.91</v>
      </c>
      <c r="V65" s="274">
        <v>0.91</v>
      </c>
      <c r="W65" s="274">
        <v>0.91</v>
      </c>
      <c r="X65" s="274">
        <v>0.91</v>
      </c>
      <c r="AB65" s="12">
        <v>59</v>
      </c>
      <c r="AC65" s="18" t="s">
        <v>36</v>
      </c>
    </row>
    <row r="66" spans="6:29" x14ac:dyDescent="0.2">
      <c r="F66" s="12"/>
      <c r="J66" s="213" t="s">
        <v>99</v>
      </c>
      <c r="K66" s="274" cm="1">
        <f t="array" ref="K66:X66">forecast.es_rte</f>
        <v>0.8322222222222222</v>
      </c>
      <c r="L66" s="274">
        <v>0.83444444444444443</v>
      </c>
      <c r="M66" s="274">
        <v>0.83666666666666667</v>
      </c>
      <c r="N66" s="274">
        <v>0.83888888888888891</v>
      </c>
      <c r="O66" s="274">
        <v>0.84111111111111114</v>
      </c>
      <c r="P66" s="274">
        <v>0.84333333333333338</v>
      </c>
      <c r="Q66" s="274">
        <v>0.84555555555555562</v>
      </c>
      <c r="R66" s="274">
        <v>0.84777777777777785</v>
      </c>
      <c r="S66" s="274">
        <v>0.85</v>
      </c>
      <c r="T66" s="274">
        <v>0.85222222222222133</v>
      </c>
      <c r="U66" s="274">
        <v>0.8544444444444439</v>
      </c>
      <c r="V66" s="274">
        <v>0.85666666666666647</v>
      </c>
      <c r="W66" s="274">
        <v>0.85888888888888815</v>
      </c>
      <c r="X66" s="274">
        <v>0.86111111111111072</v>
      </c>
      <c r="AB66" s="12">
        <v>60</v>
      </c>
      <c r="AC66" s="18" t="s">
        <v>84</v>
      </c>
    </row>
    <row r="67" spans="6:29" x14ac:dyDescent="0.2">
      <c r="F67" s="12"/>
      <c r="J67" s="213"/>
      <c r="AB67" s="12">
        <v>61</v>
      </c>
      <c r="AC67" s="18"/>
    </row>
    <row r="68" spans="6:29" x14ac:dyDescent="0.2">
      <c r="I68" s="19" t="s">
        <v>100</v>
      </c>
      <c r="J68" s="20"/>
      <c r="K68" s="21"/>
      <c r="L68" s="21"/>
      <c r="M68" s="21"/>
      <c r="N68" s="21"/>
      <c r="O68" s="21"/>
      <c r="P68" s="21"/>
      <c r="Q68" s="21"/>
      <c r="R68" s="21"/>
      <c r="S68" s="21"/>
      <c r="T68" s="21"/>
      <c r="U68" s="21"/>
      <c r="V68" s="21"/>
      <c r="W68" s="21"/>
      <c r="X68" s="21"/>
      <c r="AB68" s="12">
        <v>62</v>
      </c>
      <c r="AC68" s="18"/>
    </row>
    <row r="69" spans="6:29" x14ac:dyDescent="0.2">
      <c r="J69" s="160" t="s">
        <v>101</v>
      </c>
      <c r="K69" s="204">
        <f t="shared" ref="K69:X69" si="23">((project.interest_rate*(1+project.interest_rate)^project.debt_period)/(((1+project.interest_rate)^project.debt_period)-1))</f>
        <v>0.17913501805901069</v>
      </c>
      <c r="L69" s="204">
        <f t="shared" si="23"/>
        <v>0.17913501805901069</v>
      </c>
      <c r="M69" s="204">
        <f t="shared" si="23"/>
        <v>0.17913501805901069</v>
      </c>
      <c r="N69" s="204">
        <f t="shared" si="23"/>
        <v>0.17913501805901069</v>
      </c>
      <c r="O69" s="204">
        <f t="shared" si="23"/>
        <v>0.17913501805901069</v>
      </c>
      <c r="P69" s="204">
        <f t="shared" si="23"/>
        <v>0.17913501805901069</v>
      </c>
      <c r="Q69" s="204">
        <f t="shared" si="23"/>
        <v>0.17913501805901069</v>
      </c>
      <c r="R69" s="204">
        <f t="shared" si="23"/>
        <v>0.17913501805901069</v>
      </c>
      <c r="S69" s="204">
        <f t="shared" si="23"/>
        <v>0.17913501805901069</v>
      </c>
      <c r="T69" s="204">
        <f t="shared" si="23"/>
        <v>0.17913501805901069</v>
      </c>
      <c r="U69" s="204">
        <f t="shared" si="23"/>
        <v>0.17913501805901069</v>
      </c>
      <c r="V69" s="204">
        <f t="shared" si="23"/>
        <v>0.17913501805901069</v>
      </c>
      <c r="W69" s="204">
        <f t="shared" si="23"/>
        <v>0.17913501805901069</v>
      </c>
      <c r="X69" s="204">
        <f t="shared" si="23"/>
        <v>0.17913501805901069</v>
      </c>
      <c r="AB69" s="12">
        <v>63</v>
      </c>
      <c r="AC69" s="18" t="s">
        <v>102</v>
      </c>
    </row>
    <row r="70" spans="6:29" x14ac:dyDescent="0.2">
      <c r="F70" s="12"/>
      <c r="J70" s="160" t="s">
        <v>103</v>
      </c>
      <c r="K70" s="159">
        <f t="shared" ref="K70:X70" si="24">NPV(jurisdiction.discount_rate,_xlfn.MAKEARRAY(1,project.debt_period,_xlfn.LAMBDA(_xlpm.r,_xlpm.c,K$69*K$8*(1-project.downpayment))))+NPV(jurisdiction.discount_rate,_xlfn.MAKEARRAY(1,K18,_xlfn.LAMBDA(_xlpm.r,_xlpm.c,K$9)))+K$8*project.downpayment</f>
        <v>5910.6401038348004</v>
      </c>
      <c r="L70" s="159">
        <f t="shared" si="24"/>
        <v>5447.5351056193922</v>
      </c>
      <c r="M70" s="159">
        <f t="shared" si="24"/>
        <v>5103.858475847077</v>
      </c>
      <c r="N70" s="159">
        <f t="shared" si="24"/>
        <v>4827.6980506176978</v>
      </c>
      <c r="O70" s="159">
        <f t="shared" si="24"/>
        <v>4596.2962839185257</v>
      </c>
      <c r="P70" s="159">
        <f t="shared" si="24"/>
        <v>4397.2124778590705</v>
      </c>
      <c r="Q70" s="159">
        <f t="shared" si="24"/>
        <v>4222.7504944927241</v>
      </c>
      <c r="R70" s="159">
        <f t="shared" si="24"/>
        <v>4067.7516943124242</v>
      </c>
      <c r="S70" s="159">
        <f t="shared" si="24"/>
        <v>3928.5586463173654</v>
      </c>
      <c r="T70" s="159">
        <f t="shared" si="24"/>
        <v>3802.4687907934517</v>
      </c>
      <c r="U70" s="159">
        <f t="shared" si="24"/>
        <v>3687.4209040656069</v>
      </c>
      <c r="V70" s="159">
        <f t="shared" si="24"/>
        <v>3581.8030985415257</v>
      </c>
      <c r="W70" s="159">
        <f t="shared" si="24"/>
        <v>3484.3290737621433</v>
      </c>
      <c r="X70" s="159">
        <f t="shared" si="24"/>
        <v>3356.5721215310582</v>
      </c>
      <c r="AB70" s="12">
        <v>64</v>
      </c>
      <c r="AC70" s="18" t="s">
        <v>104</v>
      </c>
    </row>
    <row r="71" spans="6:29" x14ac:dyDescent="0.2">
      <c r="F71" s="12"/>
      <c r="J71" s="160" t="s">
        <v>105</v>
      </c>
      <c r="K71" s="273" cm="1">
        <f t="array" ref="K71">NPV(jurisdiction.discount_rate,(_xlfn.MAKEARRAY(1,K$18,_xlfn.LAMBDA(_xlpm.r,_xlpm.c,(0.98^(_xlpm.c-1)))))*K$19*8760)</f>
        <v>19736.966638111418</v>
      </c>
      <c r="L71" s="273" cm="1">
        <f t="array" ref="L71">NPV(jurisdiction.discount_rate,(_xlfn.MAKEARRAY(1,L$18,_xlfn.LAMBDA(_xlpm.r,_xlpm.c,(0.98^(_xlpm.c-1)))))*L$19*8760)</f>
        <v>19789.668818720529</v>
      </c>
      <c r="M71" s="273" cm="1">
        <f t="array" ref="M71">NPV(jurisdiction.discount_rate,(_xlfn.MAKEARRAY(1,M$18,_xlfn.LAMBDA(_xlpm.r,_xlpm.c,(0.98^(_xlpm.c-1)))))*M$19*8760)</f>
        <v>19842.370999329643</v>
      </c>
      <c r="N71" s="273" cm="1">
        <f t="array" ref="N71">NPV(jurisdiction.discount_rate,(_xlfn.MAKEARRAY(1,N$18,_xlfn.LAMBDA(_xlpm.r,_xlpm.c,(0.98^(_xlpm.c-1)))))*N$19*8760)</f>
        <v>19895.073179938758</v>
      </c>
      <c r="O71" s="273" cm="1">
        <f t="array" ref="O71">NPV(jurisdiction.discount_rate,(_xlfn.MAKEARRAY(1,O$18,_xlfn.LAMBDA(_xlpm.r,_xlpm.c,(0.98^(_xlpm.c-1)))))*O$19*8760)</f>
        <v>19947.775360547861</v>
      </c>
      <c r="P71" s="273" cm="1">
        <f t="array" ref="P71">NPV(jurisdiction.discount_rate,(_xlfn.MAKEARRAY(1,P$18,_xlfn.LAMBDA(_xlpm.r,_xlpm.c,(0.98^(_xlpm.c-1)))))*P$19*8760)</f>
        <v>20000.477541156972</v>
      </c>
      <c r="Q71" s="273" cm="1">
        <f t="array" ref="Q71">NPV(jurisdiction.discount_rate,(_xlfn.MAKEARRAY(1,Q$18,_xlfn.LAMBDA(_xlpm.r,_xlpm.c,(0.98^(_xlpm.c-1)))))*Q$19*8760)</f>
        <v>20053.179721766075</v>
      </c>
      <c r="R71" s="273" cm="1">
        <f t="array" ref="R71">NPV(jurisdiction.discount_rate,(_xlfn.MAKEARRAY(1,R$18,_xlfn.LAMBDA(_xlpm.r,_xlpm.c,(0.98^(_xlpm.c-1)))))*R$19*8760)</f>
        <v>20105.881902375189</v>
      </c>
      <c r="S71" s="273" cm="1">
        <f t="array" ref="S71">NPV(jurisdiction.discount_rate,(_xlfn.MAKEARRAY(1,S$18,_xlfn.LAMBDA(_xlpm.r,_xlpm.c,(0.98^(_xlpm.c-1)))))*S$19*8760)</f>
        <v>20158.584082984296</v>
      </c>
      <c r="T71" s="273" cm="1">
        <f t="array" ref="T71">NPV(jurisdiction.discount_rate,(_xlfn.MAKEARRAY(1,T$18,_xlfn.LAMBDA(_xlpm.r,_xlpm.c,(0.98^(_xlpm.c-1)))))*T$19*8760)</f>
        <v>20211.286263593389</v>
      </c>
      <c r="U71" s="273" cm="1">
        <f t="array" ref="U71">NPV(jurisdiction.discount_rate,(_xlfn.MAKEARRAY(1,U$18,_xlfn.LAMBDA(_xlpm.r,_xlpm.c,(0.98^(_xlpm.c-1)))))*U$19*8760)</f>
        <v>20263.988444202503</v>
      </c>
      <c r="V71" s="273" cm="1">
        <f t="array" ref="V71">NPV(jurisdiction.discount_rate,(_xlfn.MAKEARRAY(1,V$18,_xlfn.LAMBDA(_xlpm.r,_xlpm.c,(0.98^(_xlpm.c-1)))))*V$19*8760)</f>
        <v>20316.690624811617</v>
      </c>
      <c r="W71" s="273" cm="1">
        <f t="array" ref="W71">NPV(jurisdiction.discount_rate,(_xlfn.MAKEARRAY(1,W$18,_xlfn.LAMBDA(_xlpm.r,_xlpm.c,(0.98^(_xlpm.c-1)))))*W$19*8760)</f>
        <v>20369.392805420721</v>
      </c>
      <c r="X71" s="273" cm="1">
        <f t="array" ref="X71">NPV(jurisdiction.discount_rate,(_xlfn.MAKEARRAY(1,X$18,_xlfn.LAMBDA(_xlpm.r,_xlpm.c,(0.98^(_xlpm.c-1)))))*X$19*8760)</f>
        <v>20422.094986029839</v>
      </c>
      <c r="AB71" s="12">
        <v>65</v>
      </c>
      <c r="AC71" s="18" t="s">
        <v>106</v>
      </c>
    </row>
    <row r="72" spans="6:29" x14ac:dyDescent="0.2">
      <c r="J72" s="160" t="s">
        <v>107</v>
      </c>
      <c r="K72" s="287">
        <f>K70/K71</f>
        <v>0.29947054236903625</v>
      </c>
      <c r="L72" s="287">
        <f t="shared" ref="L72:X72" si="25">L70/L71</f>
        <v>0.27527166601525749</v>
      </c>
      <c r="M72" s="287">
        <f t="shared" si="25"/>
        <v>0.25722019188228595</v>
      </c>
      <c r="N72" s="287">
        <f t="shared" si="25"/>
        <v>0.24265796898328165</v>
      </c>
      <c r="O72" s="287">
        <f t="shared" si="25"/>
        <v>0.23041648508880588</v>
      </c>
      <c r="P72" s="287">
        <f t="shared" si="25"/>
        <v>0.21985537439346081</v>
      </c>
      <c r="Q72" s="287">
        <f t="shared" si="25"/>
        <v>0.21057760181091262</v>
      </c>
      <c r="R72" s="287">
        <f t="shared" si="25"/>
        <v>0.20231650191041281</v>
      </c>
      <c r="S72" s="287">
        <f t="shared" si="25"/>
        <v>0.19488266785728423</v>
      </c>
      <c r="T72" s="287">
        <f t="shared" si="25"/>
        <v>0.18813591283612874</v>
      </c>
      <c r="U72" s="287">
        <f t="shared" si="25"/>
        <v>0.18196915746468326</v>
      </c>
      <c r="V72" s="287">
        <f t="shared" si="25"/>
        <v>0.17629855002897341</v>
      </c>
      <c r="W72" s="287">
        <f t="shared" si="25"/>
        <v>0.17105709075603326</v>
      </c>
      <c r="X72" s="287">
        <f t="shared" si="25"/>
        <v>0.16435983300573187</v>
      </c>
      <c r="AB72" s="12">
        <v>66</v>
      </c>
      <c r="AC72" s="18" t="s">
        <v>108</v>
      </c>
    </row>
    <row r="73" spans="6:29" x14ac:dyDescent="0.2">
      <c r="F73" s="12"/>
      <c r="AB73" s="12"/>
      <c r="AC73" s="18"/>
    </row>
    <row r="74" spans="6:29" x14ac:dyDescent="0.2">
      <c r="F74" s="12"/>
      <c r="Y74" s="28"/>
      <c r="AB74" s="12"/>
      <c r="AC74" s="18"/>
    </row>
    <row r="75" spans="6:29" x14ac:dyDescent="0.2">
      <c r="F75" s="12"/>
      <c r="AB75" s="12"/>
      <c r="AC75" s="18"/>
    </row>
    <row r="76" spans="6:29" x14ac:dyDescent="0.2">
      <c r="F76" s="12"/>
      <c r="AB76" s="12"/>
      <c r="AC76" s="18"/>
    </row>
    <row r="77" spans="6:29" x14ac:dyDescent="0.2">
      <c r="F77" s="12"/>
      <c r="AB77" s="12"/>
      <c r="AC77" s="18"/>
    </row>
    <row r="78" spans="6:29" x14ac:dyDescent="0.2">
      <c r="F78" s="12"/>
      <c r="AB78" s="12"/>
      <c r="AC78" s="18"/>
    </row>
    <row r="79" spans="6:29" x14ac:dyDescent="0.2">
      <c r="F79" s="12"/>
      <c r="AB79" s="12"/>
      <c r="AC79" s="18"/>
    </row>
    <row r="80" spans="6:29" x14ac:dyDescent="0.2">
      <c r="F80" s="12"/>
      <c r="AB80" s="12"/>
      <c r="AC80" s="18"/>
    </row>
    <row r="81" spans="6:29" x14ac:dyDescent="0.2">
      <c r="F81" s="12"/>
      <c r="AB81" s="12"/>
      <c r="AC81" s="18"/>
    </row>
    <row r="82" spans="6:29" x14ac:dyDescent="0.2">
      <c r="F82" s="12"/>
      <c r="AB82" s="12"/>
      <c r="AC82" s="18"/>
    </row>
    <row r="83" spans="6:29" x14ac:dyDescent="0.2">
      <c r="F83" s="12"/>
      <c r="AB83" s="12"/>
      <c r="AC83" s="18"/>
    </row>
    <row r="84" spans="6:29" x14ac:dyDescent="0.2">
      <c r="F84" s="12"/>
      <c r="AB84" s="12"/>
      <c r="AC84" s="18"/>
    </row>
    <row r="85" spans="6:29" x14ac:dyDescent="0.2">
      <c r="F85" s="12"/>
      <c r="AB85" s="12"/>
      <c r="AC85" s="18"/>
    </row>
    <row r="86" spans="6:29" x14ac:dyDescent="0.2">
      <c r="F86" s="12"/>
      <c r="AB86" s="12"/>
      <c r="AC86" s="18"/>
    </row>
    <row r="87" spans="6:29" x14ac:dyDescent="0.2">
      <c r="F87" s="12"/>
    </row>
    <row r="88" spans="6:29" x14ac:dyDescent="0.2">
      <c r="F88" s="12"/>
      <c r="J88" s="14"/>
      <c r="K88" s="21"/>
      <c r="L88" s="21"/>
      <c r="M88" s="21"/>
      <c r="N88" s="21"/>
      <c r="O88" s="21"/>
      <c r="P88" s="21"/>
      <c r="Q88" s="21"/>
      <c r="R88" s="21"/>
      <c r="S88" s="21"/>
      <c r="T88" s="21"/>
      <c r="U88" s="21"/>
      <c r="V88" s="21"/>
      <c r="W88" s="21"/>
      <c r="X88" s="21"/>
    </row>
    <row r="91" spans="6:29" x14ac:dyDescent="0.2">
      <c r="J91" s="14"/>
      <c r="L91" s="21"/>
      <c r="M91" s="21"/>
      <c r="N91" s="21"/>
      <c r="O91" s="21"/>
      <c r="P91" s="21"/>
      <c r="Q91" s="21"/>
      <c r="R91" s="21"/>
      <c r="S91" s="21"/>
      <c r="T91" s="21"/>
      <c r="U91" s="21"/>
      <c r="V91" s="21"/>
      <c r="W91" s="21"/>
      <c r="X91" s="21"/>
    </row>
    <row r="92" spans="6:29" x14ac:dyDescent="0.2">
      <c r="J92" s="14"/>
      <c r="K92" s="29"/>
      <c r="L92" s="21"/>
      <c r="M92" s="21"/>
      <c r="N92" s="21"/>
      <c r="O92" s="21"/>
      <c r="P92" s="21"/>
      <c r="Q92" s="21"/>
      <c r="R92" s="21"/>
      <c r="S92" s="29"/>
      <c r="T92" s="21"/>
      <c r="U92" s="21"/>
      <c r="V92" s="21"/>
      <c r="W92" s="21"/>
      <c r="X92" s="21"/>
    </row>
    <row r="93" spans="6:29" x14ac:dyDescent="0.2">
      <c r="J93" s="14"/>
      <c r="K93" s="29"/>
      <c r="L93" s="21"/>
      <c r="M93" s="21"/>
      <c r="N93" s="21"/>
      <c r="O93" s="21"/>
      <c r="P93" s="21"/>
      <c r="Q93" s="21"/>
      <c r="R93" s="21"/>
      <c r="S93" s="29"/>
      <c r="T93" s="21"/>
      <c r="U93" s="21"/>
      <c r="V93" s="21"/>
      <c r="W93" s="21"/>
      <c r="X93" s="21"/>
    </row>
    <row r="131" spans="10:11" x14ac:dyDescent="0.2">
      <c r="J131" s="57"/>
    </row>
    <row r="135" spans="10:11" x14ac:dyDescent="0.2">
      <c r="K135" s="23"/>
    </row>
    <row r="136" spans="10:11" x14ac:dyDescent="0.2">
      <c r="K136" s="23"/>
    </row>
    <row r="137" spans="10:11" x14ac:dyDescent="0.2">
      <c r="J137" s="14"/>
      <c r="K137" s="23"/>
    </row>
    <row r="138" spans="10:11" x14ac:dyDescent="0.2">
      <c r="J138" s="14"/>
      <c r="K138" s="23"/>
    </row>
    <row r="139" spans="10:11" x14ac:dyDescent="0.2">
      <c r="J139" s="14"/>
      <c r="K139" s="23"/>
    </row>
    <row r="140" spans="10:11" x14ac:dyDescent="0.2">
      <c r="J140" s="216"/>
      <c r="K140" s="23"/>
    </row>
    <row r="141" spans="10:11" x14ac:dyDescent="0.2">
      <c r="J141" s="14"/>
      <c r="K141" s="23"/>
    </row>
  </sheetData>
  <mergeCells count="1">
    <mergeCell ref="B3:E3"/>
  </mergeCells>
  <phoneticPr fontId="14" type="noConversion"/>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26FD4-5B60-4DD0-906A-9C870D9CC2C0}">
  <dimension ref="B1:AE80"/>
  <sheetViews>
    <sheetView workbookViewId="0">
      <selection activeCell="H83" sqref="H83"/>
    </sheetView>
  </sheetViews>
  <sheetFormatPr baseColWidth="10" defaultColWidth="8.83203125" defaultRowHeight="16" x14ac:dyDescent="0.2"/>
  <cols>
    <col min="1" max="1" width="2.6640625" customWidth="1"/>
    <col min="2" max="2" width="2.6640625" style="3" customWidth="1"/>
    <col min="3" max="3" width="2.6640625" style="4" customWidth="1"/>
    <col min="4" max="4" width="2.6640625" style="2" customWidth="1"/>
    <col min="5" max="5" width="22.33203125" customWidth="1"/>
    <col min="6" max="6" width="2.6640625" style="157" customWidth="1"/>
    <col min="7" max="9" width="2.6640625" style="19" customWidth="1"/>
    <col min="10" max="10" width="38.1640625" style="20" bestFit="1" customWidth="1"/>
    <col min="11" max="11" width="12.83203125" style="21" bestFit="1" customWidth="1"/>
    <col min="12" max="24" width="11.1640625" style="21" bestFit="1" customWidth="1"/>
    <col min="25" max="28" width="2.6640625" customWidth="1"/>
    <col min="29" max="29" width="50.6640625" customWidth="1"/>
    <col min="30" max="31" width="27.5" customWidth="1"/>
  </cols>
  <sheetData>
    <row r="1" spans="2:31" ht="21" x14ac:dyDescent="0.25">
      <c r="B1" s="5" t="str">
        <f>"Solar Cost Forecast for " &amp;selected.location</f>
        <v>Solar Cost Forecast for Ontario</v>
      </c>
    </row>
    <row r="2" spans="2:31" ht="19" x14ac:dyDescent="0.25">
      <c r="B2" s="1" t="str">
        <f>_Cover!B14</f>
        <v>Renewable Cost Forecast</v>
      </c>
      <c r="K2" s="194"/>
    </row>
    <row r="3" spans="2:31" ht="15" x14ac:dyDescent="0.2">
      <c r="B3" s="331" t="str">
        <f ca="1">HYPERLINK("#"&amp;CELL("address", _Contents!B3 ), "Go to Table of Contents")</f>
        <v>Go to Table of Contents</v>
      </c>
      <c r="C3" s="331"/>
      <c r="D3" s="331"/>
      <c r="E3" s="331"/>
    </row>
    <row r="4" spans="2:31" x14ac:dyDescent="0.2">
      <c r="K4" s="22">
        <v>2022</v>
      </c>
      <c r="L4" s="22">
        <v>2023</v>
      </c>
      <c r="M4" s="22">
        <v>2024</v>
      </c>
      <c r="N4" s="22">
        <v>2025</v>
      </c>
      <c r="O4" s="22">
        <v>2026</v>
      </c>
      <c r="P4" s="22">
        <v>2027</v>
      </c>
      <c r="Q4" s="22">
        <v>2028</v>
      </c>
      <c r="R4" s="22">
        <v>2029</v>
      </c>
      <c r="S4" s="22">
        <v>2030</v>
      </c>
      <c r="T4" s="22">
        <v>2031</v>
      </c>
      <c r="U4" s="22">
        <v>2032</v>
      </c>
      <c r="V4" s="22">
        <v>2033</v>
      </c>
      <c r="W4" s="22">
        <v>2034</v>
      </c>
      <c r="X4" s="22">
        <v>2035</v>
      </c>
      <c r="AC4" s="272" t="s">
        <v>27</v>
      </c>
      <c r="AD4" s="8"/>
      <c r="AE4" s="8"/>
    </row>
    <row r="5" spans="2:31" x14ac:dyDescent="0.2">
      <c r="K5" s="22"/>
      <c r="L5" s="22"/>
      <c r="M5" s="22"/>
      <c r="N5" s="22"/>
      <c r="O5" s="22"/>
      <c r="P5" s="22"/>
      <c r="Q5" s="22"/>
      <c r="R5" s="22"/>
      <c r="S5" s="22"/>
      <c r="T5" s="22"/>
      <c r="U5" s="22"/>
      <c r="V5" s="22"/>
      <c r="W5" s="22"/>
      <c r="X5" s="22"/>
      <c r="AC5" s="10"/>
      <c r="AD5" s="8"/>
      <c r="AE5" s="8"/>
    </row>
    <row r="6" spans="2:31" x14ac:dyDescent="0.2">
      <c r="G6" s="156" t="str">
        <f>"Results - "&amp;selected.location&amp;" Real 2022$CA"</f>
        <v>Results - Ontario Real 2022$CA</v>
      </c>
      <c r="K6" s="22"/>
      <c r="L6" s="22"/>
      <c r="M6" s="22"/>
      <c r="N6" s="22"/>
      <c r="O6" s="22"/>
      <c r="P6" s="22"/>
      <c r="Q6" s="22"/>
      <c r="R6" s="22"/>
      <c r="S6" s="22"/>
      <c r="T6" s="22"/>
      <c r="U6" s="22"/>
      <c r="V6" s="22"/>
      <c r="W6" s="22"/>
      <c r="X6" s="22"/>
      <c r="AB6" s="12">
        <f t="shared" ref="AB6:AB68" si="0">ROW(A1)</f>
        <v>1</v>
      </c>
    </row>
    <row r="7" spans="2:31" x14ac:dyDescent="0.2">
      <c r="E7" s="326"/>
      <c r="G7" s="157"/>
      <c r="J7" s="14" t="s">
        <v>109</v>
      </c>
      <c r="K7" s="153" cm="1">
        <f t="array" ref="K7:X7">solar.total.capex_CADmil*1000/solar_selected.inverter.capacity</f>
        <v>1679.1485206606064</v>
      </c>
      <c r="L7" s="153">
        <v>1547.8193294020814</v>
      </c>
      <c r="M7" s="153">
        <v>1473.5170095029735</v>
      </c>
      <c r="N7" s="153">
        <v>1423.0541872038846</v>
      </c>
      <c r="O7" s="153">
        <v>1385.7926611492744</v>
      </c>
      <c r="P7" s="153">
        <v>1356.9388409444252</v>
      </c>
      <c r="Q7" s="153">
        <v>1333.9202527662219</v>
      </c>
      <c r="R7" s="153">
        <v>1315.1971349840612</v>
      </c>
      <c r="S7" s="153">
        <v>1299.7757269822241</v>
      </c>
      <c r="T7" s="153">
        <v>1286.9781653807593</v>
      </c>
      <c r="U7" s="153">
        <v>1276.3220396401146</v>
      </c>
      <c r="V7" s="153">
        <v>1267.4523369960866</v>
      </c>
      <c r="W7" s="153">
        <v>1260.1006201616863</v>
      </c>
      <c r="X7" s="153">
        <v>1254.0593329238075</v>
      </c>
      <c r="AB7" s="12">
        <f t="shared" si="0"/>
        <v>2</v>
      </c>
      <c r="AC7" s="18" t="s">
        <v>29</v>
      </c>
    </row>
    <row r="8" spans="2:31" x14ac:dyDescent="0.2">
      <c r="G8" s="157"/>
      <c r="J8" s="14" t="s">
        <v>110</v>
      </c>
      <c r="K8" s="153" cm="1">
        <f t="array" ref="K8:X8">solar.total.opex_CADmil*1000/solar_selected.inverter.capacity</f>
        <v>55.792785714285728</v>
      </c>
      <c r="L8" s="153">
        <v>55.660002907643694</v>
      </c>
      <c r="M8" s="153">
        <v>55.525221372768613</v>
      </c>
      <c r="N8" s="153">
        <v>55.388407748083402</v>
      </c>
      <c r="O8" s="153">
        <v>55.249530478155677</v>
      </c>
      <c r="P8" s="153">
        <v>55.10855969310267</v>
      </c>
      <c r="Q8" s="153">
        <v>54.965467097531025</v>
      </c>
      <c r="R8" s="153">
        <v>54.820225868144</v>
      </c>
      <c r="S8" s="153">
        <v>54.672810559236268</v>
      </c>
      <c r="T8" s="153">
        <v>54.834202632472582</v>
      </c>
      <c r="U8" s="153">
        <v>54.995228468909161</v>
      </c>
      <c r="V8" s="153">
        <v>55.155887373603335</v>
      </c>
      <c r="W8" s="153">
        <v>55.316178666719885</v>
      </c>
      <c r="X8" s="153">
        <v>55.476101683122749</v>
      </c>
      <c r="AB8" s="12">
        <f t="shared" si="0"/>
        <v>3</v>
      </c>
      <c r="AC8" s="18" t="s">
        <v>31</v>
      </c>
    </row>
    <row r="9" spans="2:31" x14ac:dyDescent="0.2">
      <c r="G9" s="157"/>
      <c r="J9" s="14" t="s">
        <v>111</v>
      </c>
      <c r="K9" s="152" cm="1">
        <f t="array" ref="K9:X9">K68:X68</f>
        <v>8.8155474520390589E-2</v>
      </c>
      <c r="L9" s="152">
        <v>8.3066981305204526E-2</v>
      </c>
      <c r="M9" s="152">
        <v>7.9947123039100565E-2</v>
      </c>
      <c r="N9" s="152">
        <v>7.8286857135013765E-2</v>
      </c>
      <c r="O9" s="152">
        <v>7.644528735041789E-2</v>
      </c>
      <c r="P9" s="152">
        <v>7.4930365818539346E-2</v>
      </c>
      <c r="Q9" s="152">
        <v>7.3648364086015383E-2</v>
      </c>
      <c r="R9" s="152">
        <v>7.2998889326943456E-2</v>
      </c>
      <c r="S9" s="152">
        <v>7.199578486875774E-2</v>
      </c>
      <c r="T9" s="152">
        <v>7.1299212545042137E-2</v>
      </c>
      <c r="U9" s="152">
        <v>7.0699630925377621E-2</v>
      </c>
      <c r="V9" s="152">
        <v>7.0542917446793862E-2</v>
      </c>
      <c r="W9" s="152">
        <v>7.0071438789096052E-2</v>
      </c>
      <c r="X9" s="152">
        <v>6.9663452697774839E-2</v>
      </c>
      <c r="AB9" s="12">
        <f t="shared" si="0"/>
        <v>4</v>
      </c>
      <c r="AC9" s="18" t="s">
        <v>33</v>
      </c>
    </row>
    <row r="10" spans="2:31" x14ac:dyDescent="0.2">
      <c r="G10" s="156" t="str">
        <f>"System Specifications- "&amp;selected.location</f>
        <v>System Specifications- Ontario</v>
      </c>
      <c r="K10" s="22"/>
      <c r="L10" s="22"/>
      <c r="M10" s="22"/>
      <c r="N10" s="22"/>
      <c r="O10" s="22"/>
      <c r="P10" s="22"/>
      <c r="Q10" s="22"/>
      <c r="R10" s="22"/>
      <c r="S10" s="22"/>
      <c r="T10" s="22"/>
      <c r="U10" s="22"/>
      <c r="V10" s="22"/>
      <c r="W10" s="22"/>
      <c r="X10" s="22"/>
      <c r="AB10" s="12">
        <f t="shared" si="0"/>
        <v>5</v>
      </c>
      <c r="AC10" s="18"/>
    </row>
    <row r="11" spans="2:31" x14ac:dyDescent="0.2">
      <c r="E11" s="40"/>
      <c r="G11" s="157"/>
      <c r="J11" s="161" t="s">
        <v>112</v>
      </c>
      <c r="K11" s="24" cm="1">
        <f t="array" ref="K11:X11">K12*forecast_solar.ILR</f>
        <v>133.57142857142858</v>
      </c>
      <c r="L11" s="24">
        <v>134.14285714285717</v>
      </c>
      <c r="M11" s="24">
        <v>134.71428571428575</v>
      </c>
      <c r="N11" s="24">
        <v>135.28571428571433</v>
      </c>
      <c r="O11" s="24">
        <v>135.85714285714289</v>
      </c>
      <c r="P11" s="24">
        <v>136.42857142857147</v>
      </c>
      <c r="Q11" s="24">
        <v>137.00000000000006</v>
      </c>
      <c r="R11" s="24">
        <v>137.57142857142864</v>
      </c>
      <c r="S11" s="24">
        <v>138.14285714285722</v>
      </c>
      <c r="T11" s="24">
        <v>138.71428571428578</v>
      </c>
      <c r="U11" s="24">
        <v>139.28571428571436</v>
      </c>
      <c r="V11" s="24">
        <v>139.85714285714295</v>
      </c>
      <c r="W11" s="24">
        <v>140.42857142857153</v>
      </c>
      <c r="X11" s="24">
        <v>141</v>
      </c>
      <c r="AB11" s="12">
        <f t="shared" si="0"/>
        <v>6</v>
      </c>
      <c r="AC11" s="18" t="str">
        <f>"Solar Module Capacity (MWdc) = Solar Inverter Capacity ("&amp;AB12&amp;") x Inverter Sizing Ratio"</f>
        <v>Solar Module Capacity (MWdc) = Solar Inverter Capacity (7) x Inverter Sizing Ratio</v>
      </c>
      <c r="AD11" s="14"/>
      <c r="AE11" s="11"/>
    </row>
    <row r="12" spans="2:31" x14ac:dyDescent="0.2">
      <c r="G12" s="157"/>
      <c r="J12" s="212" t="s">
        <v>113</v>
      </c>
      <c r="K12" s="24">
        <v>100</v>
      </c>
      <c r="L12" s="24">
        <v>100</v>
      </c>
      <c r="M12" s="24">
        <v>100</v>
      </c>
      <c r="N12" s="24">
        <v>100</v>
      </c>
      <c r="O12" s="24">
        <v>100</v>
      </c>
      <c r="P12" s="24">
        <v>100</v>
      </c>
      <c r="Q12" s="24">
        <v>100</v>
      </c>
      <c r="R12" s="24">
        <v>100</v>
      </c>
      <c r="S12" s="24">
        <v>100</v>
      </c>
      <c r="T12" s="24">
        <v>100</v>
      </c>
      <c r="U12" s="24">
        <v>100</v>
      </c>
      <c r="V12" s="24">
        <v>100</v>
      </c>
      <c r="W12" s="24">
        <v>100</v>
      </c>
      <c r="X12" s="24">
        <v>100</v>
      </c>
      <c r="AB12" s="12">
        <f t="shared" si="0"/>
        <v>7</v>
      </c>
      <c r="AC12" s="18" t="s">
        <v>114</v>
      </c>
      <c r="AD12" s="14"/>
      <c r="AE12" s="11"/>
    </row>
    <row r="13" spans="2:31" x14ac:dyDescent="0.2">
      <c r="G13" s="157"/>
      <c r="J13" s="212" t="s">
        <v>115</v>
      </c>
      <c r="K13" s="24" cm="1">
        <f t="array" ref="K13:X13">solar.system_project_life</f>
        <v>32</v>
      </c>
      <c r="L13" s="23">
        <v>33</v>
      </c>
      <c r="M13" s="23">
        <v>34</v>
      </c>
      <c r="N13" s="23">
        <v>34</v>
      </c>
      <c r="O13" s="23">
        <v>35</v>
      </c>
      <c r="P13" s="23">
        <v>36</v>
      </c>
      <c r="Q13" s="23">
        <v>37</v>
      </c>
      <c r="R13" s="23">
        <v>37</v>
      </c>
      <c r="S13" s="23">
        <v>38</v>
      </c>
      <c r="T13" s="23">
        <v>39</v>
      </c>
      <c r="U13" s="23">
        <v>40</v>
      </c>
      <c r="V13" s="23">
        <v>40</v>
      </c>
      <c r="W13" s="23">
        <v>41</v>
      </c>
      <c r="X13" s="23">
        <v>42</v>
      </c>
      <c r="AB13" s="12">
        <f t="shared" si="0"/>
        <v>8</v>
      </c>
      <c r="AC13" s="18" t="s">
        <v>116</v>
      </c>
    </row>
    <row r="14" spans="2:31" x14ac:dyDescent="0.2">
      <c r="G14" s="157"/>
      <c r="J14" s="212" t="s">
        <v>117</v>
      </c>
      <c r="K14" s="41" cm="1">
        <f t="array" ref="K14">INDEX(jurisdictional_inputs,_xlfn.XMATCH($J$14,jurisdictional_inputs_rows),_xlfn.XMATCH(selected.location,jurisdictions))</f>
        <v>0.2</v>
      </c>
      <c r="L14" s="41" cm="1">
        <f t="array" ref="L14">INDEX(jurisdictional_inputs,_xlfn.XMATCH($J$14,jurisdictional_inputs_rows),_xlfn.XMATCH(selected.location,jurisdictions))</f>
        <v>0.2</v>
      </c>
      <c r="M14" s="41" cm="1">
        <f t="array" ref="M14">INDEX(jurisdictional_inputs,_xlfn.XMATCH($J$14,jurisdictional_inputs_rows),_xlfn.XMATCH(selected.location,jurisdictions))</f>
        <v>0.2</v>
      </c>
      <c r="N14" s="41" cm="1">
        <f t="array" ref="N14">INDEX(jurisdictional_inputs,_xlfn.XMATCH($J$14,jurisdictional_inputs_rows),_xlfn.XMATCH(selected.location,jurisdictions))</f>
        <v>0.2</v>
      </c>
      <c r="O14" s="41" cm="1">
        <f t="array" ref="O14">INDEX(jurisdictional_inputs,_xlfn.XMATCH($J$14,jurisdictional_inputs_rows),_xlfn.XMATCH(selected.location,jurisdictions))</f>
        <v>0.2</v>
      </c>
      <c r="P14" s="41" cm="1">
        <f t="array" ref="P14">INDEX(jurisdictional_inputs,_xlfn.XMATCH($J$14,jurisdictional_inputs_rows),_xlfn.XMATCH(selected.location,jurisdictions))</f>
        <v>0.2</v>
      </c>
      <c r="Q14" s="41" cm="1">
        <f t="array" ref="Q14">INDEX(jurisdictional_inputs,_xlfn.XMATCH($J$14,jurisdictional_inputs_rows),_xlfn.XMATCH(selected.location,jurisdictions))</f>
        <v>0.2</v>
      </c>
      <c r="R14" s="41" cm="1">
        <f t="array" ref="R14">INDEX(jurisdictional_inputs,_xlfn.XMATCH($J$14,jurisdictional_inputs_rows),_xlfn.XMATCH(selected.location,jurisdictions))</f>
        <v>0.2</v>
      </c>
      <c r="S14" s="41" cm="1">
        <f t="array" ref="S14">INDEX(jurisdictional_inputs,_xlfn.XMATCH($J$14,jurisdictional_inputs_rows),_xlfn.XMATCH(selected.location,jurisdictions))</f>
        <v>0.2</v>
      </c>
      <c r="T14" s="41" cm="1">
        <f t="array" ref="T14">INDEX(jurisdictional_inputs,_xlfn.XMATCH($J$14,jurisdictional_inputs_rows),_xlfn.XMATCH(selected.location,jurisdictions))</f>
        <v>0.2</v>
      </c>
      <c r="U14" s="41" cm="1">
        <f t="array" ref="U14">INDEX(jurisdictional_inputs,_xlfn.XMATCH($J$14,jurisdictional_inputs_rows),_xlfn.XMATCH(selected.location,jurisdictions))</f>
        <v>0.2</v>
      </c>
      <c r="V14" s="41" cm="1">
        <f t="array" ref="V14">INDEX(jurisdictional_inputs,_xlfn.XMATCH($J$14,jurisdictional_inputs_rows),_xlfn.XMATCH(selected.location,jurisdictions))</f>
        <v>0.2</v>
      </c>
      <c r="W14" s="41" cm="1">
        <f t="array" ref="W14">INDEX(jurisdictional_inputs,_xlfn.XMATCH($J$14,jurisdictional_inputs_rows),_xlfn.XMATCH(selected.location,jurisdictions))</f>
        <v>0.2</v>
      </c>
      <c r="X14" s="41" cm="1">
        <f t="array" ref="X14">INDEX(jurisdictional_inputs,_xlfn.XMATCH($J$14,jurisdictional_inputs_rows),_xlfn.XMATCH(selected.location,jurisdictions))</f>
        <v>0.2</v>
      </c>
      <c r="AB14" s="12">
        <f t="shared" si="0"/>
        <v>9</v>
      </c>
      <c r="AC14" s="18" t="s">
        <v>70</v>
      </c>
    </row>
    <row r="15" spans="2:31" x14ac:dyDescent="0.2">
      <c r="G15" s="156" t="s">
        <v>45</v>
      </c>
      <c r="J15" s="212"/>
      <c r="K15" s="25"/>
      <c r="L15" s="25"/>
      <c r="M15" s="25"/>
      <c r="N15" s="25"/>
      <c r="O15" s="25"/>
      <c r="P15" s="25"/>
      <c r="Q15" s="25"/>
      <c r="R15" s="25"/>
      <c r="S15" s="25"/>
      <c r="T15" s="25"/>
      <c r="U15" s="25"/>
      <c r="V15" s="25"/>
      <c r="W15" s="25"/>
      <c r="X15" s="25"/>
      <c r="AB15" s="12">
        <f t="shared" si="0"/>
        <v>10</v>
      </c>
      <c r="AC15" s="15"/>
      <c r="AD15" s="16"/>
      <c r="AE15" s="11"/>
    </row>
    <row r="16" spans="2:31" x14ac:dyDescent="0.2">
      <c r="H16" s="30"/>
      <c r="I16" s="30"/>
      <c r="J16" s="236" t="s">
        <v>46</v>
      </c>
      <c r="K16" s="162" cm="1">
        <f t="array" ref="K16:X16">solar.total.capex_equip_CADmil
+solar.total.capex_install_CADmil
+solar.total.capex_soft_CADmil
+solar.total.capex_replacement_CADmil</f>
        <v>167.91485206606063</v>
      </c>
      <c r="L16" s="162">
        <v>154.78193294020815</v>
      </c>
      <c r="M16" s="162">
        <v>147.35170095029736</v>
      </c>
      <c r="N16" s="162">
        <v>142.30541872038847</v>
      </c>
      <c r="O16" s="162">
        <v>138.57926611492746</v>
      </c>
      <c r="P16" s="162">
        <v>135.69388409444252</v>
      </c>
      <c r="Q16" s="162">
        <v>133.39202527662218</v>
      </c>
      <c r="R16" s="162">
        <v>131.51971349840611</v>
      </c>
      <c r="S16" s="162">
        <v>129.97757269822242</v>
      </c>
      <c r="T16" s="162">
        <v>128.69781653807593</v>
      </c>
      <c r="U16" s="162">
        <v>127.63220396401145</v>
      </c>
      <c r="V16" s="162">
        <v>126.74523369960866</v>
      </c>
      <c r="W16" s="162">
        <v>126.01006201616862</v>
      </c>
      <c r="X16" s="162">
        <v>125.40593329238074</v>
      </c>
      <c r="Y16" s="162"/>
      <c r="AB16" s="12">
        <f t="shared" si="0"/>
        <v>11</v>
      </c>
      <c r="AC16" s="18" t="s">
        <v>118</v>
      </c>
    </row>
    <row r="17" spans="8:31" x14ac:dyDescent="0.2">
      <c r="H17" s="30"/>
      <c r="J17" s="236" t="s">
        <v>48</v>
      </c>
      <c r="K17" s="162" cm="1">
        <f t="array" ref="K17:X17">_xlfn.ANCHORARRAY(K41)</f>
        <v>5.5792785714285724</v>
      </c>
      <c r="L17" s="162">
        <v>5.5660002907643689</v>
      </c>
      <c r="M17" s="162">
        <v>5.5525221372768607</v>
      </c>
      <c r="N17" s="162">
        <v>5.5388407748083397</v>
      </c>
      <c r="O17" s="162">
        <v>5.5249530478155675</v>
      </c>
      <c r="P17" s="162">
        <v>5.510855969310267</v>
      </c>
      <c r="Q17" s="162">
        <v>5.4965467097531029</v>
      </c>
      <c r="R17" s="162">
        <v>5.4820225868143995</v>
      </c>
      <c r="S17" s="162">
        <v>5.4672810559236265</v>
      </c>
      <c r="T17" s="162">
        <v>5.4834202632472575</v>
      </c>
      <c r="U17" s="162">
        <v>5.4995228468909163</v>
      </c>
      <c r="V17" s="162">
        <v>5.5155887373603338</v>
      </c>
      <c r="W17" s="162">
        <v>5.5316178666719891</v>
      </c>
      <c r="X17" s="162">
        <v>5.5476101683122749</v>
      </c>
      <c r="AB17" s="12">
        <f t="shared" si="0"/>
        <v>12</v>
      </c>
      <c r="AC17" s="18" t="s">
        <v>119</v>
      </c>
    </row>
    <row r="18" spans="8:31" x14ac:dyDescent="0.2">
      <c r="H18" s="30"/>
      <c r="K18" s="31"/>
      <c r="L18" s="31"/>
      <c r="M18" s="31"/>
      <c r="N18" s="31"/>
      <c r="O18" s="31"/>
      <c r="P18" s="31"/>
      <c r="Q18" s="31"/>
      <c r="R18" s="31"/>
      <c r="S18" s="31"/>
      <c r="T18" s="31"/>
      <c r="U18" s="31"/>
      <c r="V18" s="31"/>
      <c r="W18" s="31"/>
      <c r="X18" s="31"/>
      <c r="AB18" s="12">
        <f t="shared" si="0"/>
        <v>13</v>
      </c>
    </row>
    <row r="19" spans="8:31" x14ac:dyDescent="0.2">
      <c r="H19" s="156" t="s">
        <v>50</v>
      </c>
      <c r="K19" s="31"/>
      <c r="L19" s="31"/>
      <c r="M19" s="31"/>
      <c r="N19" s="31"/>
      <c r="O19" s="31"/>
      <c r="P19" s="31"/>
      <c r="Q19" s="31"/>
      <c r="R19" s="31"/>
      <c r="S19" s="31"/>
      <c r="T19" s="31"/>
      <c r="U19" s="31"/>
      <c r="V19" s="31"/>
      <c r="W19" s="31"/>
      <c r="X19" s="31"/>
      <c r="AB19" s="12">
        <f t="shared" si="0"/>
        <v>14</v>
      </c>
    </row>
    <row r="20" spans="8:31" x14ac:dyDescent="0.2">
      <c r="H20" s="19" t="str">
        <f>"CAPEX (2022$M) - "&amp;selected.location</f>
        <v>CAPEX (2022$M) - Ontario</v>
      </c>
      <c r="AB20" s="12">
        <f t="shared" si="0"/>
        <v>15</v>
      </c>
      <c r="AC20" s="14"/>
      <c r="AD20" s="14"/>
      <c r="AE20" s="11"/>
    </row>
    <row r="21" spans="8:31" x14ac:dyDescent="0.2">
      <c r="I21" s="19" t="str">
        <f>"Equipment (2022$M)"&amp;IF(ITC.toggle="Yes"," - ITC Enabled","")</f>
        <v>Equipment (2022$M)</v>
      </c>
      <c r="K21" s="151" cm="1">
        <f t="array" ref="K21:X21">(_xlfn.ANCHORARRAY(K22)+_xlfn.ANCHORARRAY(K23)+_xlfn.ANCHORARRAY(K24)+_xlfn.ANCHORARRAY(K25))*IF(ITC.toggle="Yes",(1-Forecast.ITC.Equipment),1)</f>
        <v>101.85445491140426</v>
      </c>
      <c r="L21" s="151">
        <v>91.545209145191464</v>
      </c>
      <c r="M21" s="151">
        <v>85.581774424335137</v>
      </c>
      <c r="N21" s="151">
        <v>81.40992589960122</v>
      </c>
      <c r="O21" s="151">
        <v>78.220560046875917</v>
      </c>
      <c r="P21" s="151">
        <v>75.651543950704493</v>
      </c>
      <c r="Q21" s="151">
        <v>73.509326772907869</v>
      </c>
      <c r="R21" s="151">
        <v>71.67833284371558</v>
      </c>
      <c r="S21" s="151">
        <v>70.08405676648897</v>
      </c>
      <c r="T21" s="151">
        <v>68.675687158656629</v>
      </c>
      <c r="U21" s="151">
        <v>67.417039889505702</v>
      </c>
      <c r="V21" s="151">
        <v>66.281447679746222</v>
      </c>
      <c r="W21" s="151">
        <v>65.2487006741366</v>
      </c>
      <c r="X21" s="151">
        <v>64.303123805122709</v>
      </c>
      <c r="AB21" s="12">
        <f t="shared" si="0"/>
        <v>16</v>
      </c>
      <c r="AC21" s="18" t="str">
        <f>"Total Equipment Costs ($M)= Module Costs ("&amp;AB22&amp;") + Inverter Costs("&amp;AB23&amp;") + Balance of System("&amp;AB24&amp;") + Grid Connection ("&amp;AB25&amp;")"</f>
        <v>Total Equipment Costs ($M)= Module Costs (17) + Inverter Costs(18) + Balance of System(19) + Grid Connection (20)</v>
      </c>
      <c r="AD21" s="14"/>
      <c r="AE21" s="11"/>
    </row>
    <row r="22" spans="8:31" x14ac:dyDescent="0.2">
      <c r="J22" s="160" t="s">
        <v>120</v>
      </c>
      <c r="K22" s="155" cm="1">
        <f t="array" ref="K22:X22">solar_selected.module.capacity*_xlfn.ANCHORARRAY(K48)</f>
        <v>61.44285714285715</v>
      </c>
      <c r="L22" s="155">
        <v>54.068010378289223</v>
      </c>
      <c r="M22" s="155">
        <v>49.811529628100715</v>
      </c>
      <c r="N22" s="155">
        <v>46.825878836963113</v>
      </c>
      <c r="O22" s="155">
        <v>44.533451296596411</v>
      </c>
      <c r="P22" s="155">
        <v>42.677552682860103</v>
      </c>
      <c r="Q22" s="155">
        <v>41.121561144023978</v>
      </c>
      <c r="R22" s="155">
        <v>39.784106782312939</v>
      </c>
      <c r="S22" s="155">
        <v>38.612820497686315</v>
      </c>
      <c r="T22" s="155">
        <v>37.572024039879601</v>
      </c>
      <c r="U22" s="155">
        <v>36.636325769130913</v>
      </c>
      <c r="V22" s="155">
        <v>35.787018860573291</v>
      </c>
      <c r="W22" s="155">
        <v>35.00992855977151</v>
      </c>
      <c r="X22" s="155">
        <v>34.294061000206135</v>
      </c>
      <c r="AB22" s="12">
        <f t="shared" si="0"/>
        <v>17</v>
      </c>
      <c r="AC22" s="18" t="str">
        <f>"Module Costs ($M) = Module Costs ("&amp;AB48&amp;") * Solar Module Capacity ("&amp;AB11&amp;")"</f>
        <v>Module Costs ($M) = Module Costs (43) * Solar Module Capacity (6)</v>
      </c>
      <c r="AD22" s="14"/>
      <c r="AE22" s="11"/>
    </row>
    <row r="23" spans="8:31" x14ac:dyDescent="0.2">
      <c r="J23" s="160" t="s">
        <v>121</v>
      </c>
      <c r="K23" s="155" cm="1">
        <f t="array" ref="K23:X23">_xlfn.ANCHORARRAY(K49)*solar_selected.inverter.capacity*1000000/1000000</f>
        <v>6.18</v>
      </c>
      <c r="L23" s="155">
        <v>5.4175381013840607</v>
      </c>
      <c r="M23" s="155">
        <v>4.9715264824650793</v>
      </c>
      <c r="N23" s="155">
        <v>4.6550762027681207</v>
      </c>
      <c r="O23" s="155">
        <v>4.4096182963224901</v>
      </c>
      <c r="P23" s="155">
        <v>4.2090645838491394</v>
      </c>
      <c r="Q23" s="155">
        <v>4.0394988360391553</v>
      </c>
      <c r="R23" s="155">
        <v>3.8926143041521808</v>
      </c>
      <c r="S23" s="155">
        <v>3.763052964930159</v>
      </c>
      <c r="T23" s="155">
        <v>3.6471563977065498</v>
      </c>
      <c r="U23" s="155">
        <v>3.5423151999217923</v>
      </c>
      <c r="V23" s="155">
        <v>3.4466026852331995</v>
      </c>
      <c r="W23" s="155">
        <v>3.35855570679231</v>
      </c>
      <c r="X23" s="155">
        <v>3.2770369374232158</v>
      </c>
      <c r="AB23" s="12">
        <f t="shared" si="0"/>
        <v>18</v>
      </c>
      <c r="AC23" s="18" t="s">
        <v>122</v>
      </c>
      <c r="AD23" s="11"/>
      <c r="AE23" s="11"/>
    </row>
    <row r="24" spans="8:31" x14ac:dyDescent="0.2">
      <c r="J24" s="160" t="s">
        <v>57</v>
      </c>
      <c r="K24" s="155" cm="1">
        <f t="array" ref="K24:X24">((_xlfn.ANCHORARRAY(K50)+_xlfn.ANCHORARRAY(K51))*solar_selected.module.capacity*1000/forecast_solar.module.efficiency+_xlfn.ANCHORARRAY(K52))/1000/1000</f>
        <v>32.973597768547101</v>
      </c>
      <c r="L24" s="155">
        <v>30.801660665518188</v>
      </c>
      <c r="M24" s="155">
        <v>29.54071831376935</v>
      </c>
      <c r="N24" s="155">
        <v>28.670970859869996</v>
      </c>
      <c r="O24" s="155">
        <v>28.019490453957012</v>
      </c>
      <c r="P24" s="155">
        <v>27.50692668399526</v>
      </c>
      <c r="Q24" s="155">
        <v>27.090266792844737</v>
      </c>
      <c r="R24" s="155">
        <v>26.743611757250459</v>
      </c>
      <c r="S24" s="155">
        <v>26.4501833038725</v>
      </c>
      <c r="T24" s="155">
        <v>26.19850672107048</v>
      </c>
      <c r="U24" s="155">
        <v>25.980398920452998</v>
      </c>
      <c r="V24" s="155">
        <v>25.78982613393973</v>
      </c>
      <c r="W24" s="155">
        <v>25.622216407572783</v>
      </c>
      <c r="X24" s="155">
        <v>25.47402586749336</v>
      </c>
      <c r="AB24" s="12">
        <f t="shared" si="0"/>
        <v>19</v>
      </c>
      <c r="AC24" s="18" t="s">
        <v>123</v>
      </c>
      <c r="AD24" s="11"/>
      <c r="AE24" s="11"/>
    </row>
    <row r="25" spans="8:31" x14ac:dyDescent="0.2">
      <c r="J25" s="160" t="s">
        <v>124</v>
      </c>
      <c r="K25" s="155" cm="1">
        <f t="array" ref="K25:X25">_xlfn.ANCHORARRAY(K53)*K54:X54</f>
        <v>1.2579999999999998</v>
      </c>
      <c r="L25" s="155">
        <v>1.2579999999999998</v>
      </c>
      <c r="M25" s="155">
        <v>1.2579999999999998</v>
      </c>
      <c r="N25" s="155">
        <v>1.2579999999999998</v>
      </c>
      <c r="O25" s="155">
        <v>1.2579999999999998</v>
      </c>
      <c r="P25" s="155">
        <v>1.2579999999999998</v>
      </c>
      <c r="Q25" s="155">
        <v>1.2579999999999998</v>
      </c>
      <c r="R25" s="155">
        <v>1.2579999999999998</v>
      </c>
      <c r="S25" s="155">
        <v>1.2579999999999998</v>
      </c>
      <c r="T25" s="155">
        <v>1.2579999999999998</v>
      </c>
      <c r="U25" s="155">
        <v>1.2579999999999998</v>
      </c>
      <c r="V25" s="155">
        <v>1.2579999999999998</v>
      </c>
      <c r="W25" s="155">
        <v>1.2579999999999998</v>
      </c>
      <c r="X25" s="155">
        <v>1.2579999999999998</v>
      </c>
      <c r="AB25" s="12">
        <f t="shared" si="0"/>
        <v>20</v>
      </c>
      <c r="AC25" s="18" t="s">
        <v>125</v>
      </c>
      <c r="AD25" s="11"/>
      <c r="AE25" s="11"/>
    </row>
    <row r="26" spans="8:31" x14ac:dyDescent="0.2">
      <c r="I26" s="19" t="str">
        <f>"Installation (2022$M)"&amp;IF(ITC.toggle="Yes"," - ITC Enabled","")</f>
        <v>Installation (2022$M)</v>
      </c>
      <c r="J26" s="207"/>
      <c r="K26" s="151" cm="1">
        <f t="array" ref="K26:X26">(_xlfn.ANCHORARRAY(K27)+_xlfn.ANCHORARRAY(K28))*IF(ITC.toggle="Yes",(1-Forecast.ITC.Installation),1)</f>
        <v>23.800044734409571</v>
      </c>
      <c r="L26" s="151">
        <v>23.646838649507913</v>
      </c>
      <c r="M26" s="151">
        <v>23.656974653242379</v>
      </c>
      <c r="N26" s="151">
        <v>23.75585449928256</v>
      </c>
      <c r="O26" s="151">
        <v>23.911631549880013</v>
      </c>
      <c r="P26" s="151">
        <v>24.107914869205338</v>
      </c>
      <c r="Q26" s="151">
        <v>24.335240488084185</v>
      </c>
      <c r="R26" s="151">
        <v>24.587702922520698</v>
      </c>
      <c r="S26" s="151">
        <v>24.861408013589781</v>
      </c>
      <c r="T26" s="151">
        <v>25.153682254508873</v>
      </c>
      <c r="U26" s="151">
        <v>25.462635065384706</v>
      </c>
      <c r="V26" s="151">
        <v>25.786900860895983</v>
      </c>
      <c r="W26" s="151">
        <v>26.125479249302032</v>
      </c>
      <c r="X26" s="151">
        <v>26.477631865217425</v>
      </c>
      <c r="AB26" s="12">
        <f t="shared" si="0"/>
        <v>21</v>
      </c>
      <c r="AC26" s="18" t="s">
        <v>126</v>
      </c>
      <c r="AD26" s="11"/>
      <c r="AE26" s="11"/>
    </row>
    <row r="27" spans="8:31" x14ac:dyDescent="0.2">
      <c r="J27" s="160" t="s">
        <v>62</v>
      </c>
      <c r="K27" s="155" cm="1">
        <f t="array" ref="K27:X27">_xlfn.ANCHORARRAY(K55)*solar_selected.module.capacity*1000/forecast_solar.module.efficiency/1000000</f>
        <v>9.8471595594744041</v>
      </c>
      <c r="L27" s="155">
        <v>9.6701179575607252</v>
      </c>
      <c r="M27" s="155">
        <v>9.5609712419041646</v>
      </c>
      <c r="N27" s="155">
        <v>9.4876003524377364</v>
      </c>
      <c r="O27" s="155">
        <v>9.4361928896426459</v>
      </c>
      <c r="P27" s="155">
        <v>9.3995756093518583</v>
      </c>
      <c r="Q27" s="155">
        <v>9.3735593333019764</v>
      </c>
      <c r="R27" s="155">
        <v>9.3554917452018334</v>
      </c>
      <c r="S27" s="155">
        <v>9.3435910661485622</v>
      </c>
      <c r="T27" s="155">
        <v>9.3366047137125285</v>
      </c>
      <c r="U27" s="155">
        <v>9.3336198800677934</v>
      </c>
      <c r="V27" s="155">
        <v>9.3339516455212177</v>
      </c>
      <c r="W27" s="155">
        <v>9.3370734901291872</v>
      </c>
      <c r="X27" s="155">
        <v>9.3425723191807073</v>
      </c>
      <c r="AB27" s="12">
        <f t="shared" si="0"/>
        <v>22</v>
      </c>
      <c r="AC27" s="18" t="s">
        <v>127</v>
      </c>
      <c r="AD27" s="11"/>
      <c r="AE27" s="11"/>
    </row>
    <row r="28" spans="8:31" x14ac:dyDescent="0.2">
      <c r="J28" s="160" t="s">
        <v>128</v>
      </c>
      <c r="K28" s="155" cm="1">
        <f t="array" ref="K28:X28">_xlfn.ANCHORARRAY(K56)*_xlfn.ANCHORARRAY(K57)/1000/1000</f>
        <v>13.952885174935167</v>
      </c>
      <c r="L28" s="155">
        <v>13.976720691947186</v>
      </c>
      <c r="M28" s="155">
        <v>14.096003411338216</v>
      </c>
      <c r="N28" s="155">
        <v>14.268254146844823</v>
      </c>
      <c r="O28" s="155">
        <v>14.475438660237366</v>
      </c>
      <c r="P28" s="155">
        <v>14.708339259853481</v>
      </c>
      <c r="Q28" s="155">
        <v>14.961681154782209</v>
      </c>
      <c r="R28" s="155">
        <v>15.232211177318863</v>
      </c>
      <c r="S28" s="155">
        <v>15.51781694744122</v>
      </c>
      <c r="T28" s="155">
        <v>15.817077540796346</v>
      </c>
      <c r="U28" s="155">
        <v>16.129015185316913</v>
      </c>
      <c r="V28" s="155">
        <v>16.452949215374765</v>
      </c>
      <c r="W28" s="155">
        <v>16.788405759172846</v>
      </c>
      <c r="X28" s="155">
        <v>17.135059546036718</v>
      </c>
      <c r="AB28" s="12">
        <f t="shared" si="0"/>
        <v>23</v>
      </c>
      <c r="AC28" s="18" t="s">
        <v>129</v>
      </c>
      <c r="AD28" s="11"/>
      <c r="AE28" s="11"/>
    </row>
    <row r="29" spans="8:31" x14ac:dyDescent="0.2">
      <c r="I29" s="19" t="str">
        <f>"Soft Costs (2022$M)"&amp;IF(ITC.toggle="Yes"," - ITC Enabled","")</f>
        <v>Soft Costs (2022$M)</v>
      </c>
      <c r="J29" s="210"/>
      <c r="K29" s="151" cm="1">
        <f t="array" ref="K29:X29">(K30:X30+K31:X31+_xlfn.ANCHORARRAY(K32)+_xlfn.ANCHORARRAY(K33)+_xlfn.ANCHORARRAY(K34)+_xlfn.ANCHORARRAY(K35))*IF(ITC.toggle="Yes",(1-Forecast.ITC.Soft),1)</f>
        <v>42.260352420246811</v>
      </c>
      <c r="L29" s="151">
        <v>39.589885145508767</v>
      </c>
      <c r="M29" s="151">
        <v>38.112951872719826</v>
      </c>
      <c r="N29" s="151">
        <v>37.139638321504684</v>
      </c>
      <c r="O29" s="151">
        <v>36.447074518171547</v>
      </c>
      <c r="P29" s="151">
        <v>35.934425274532671</v>
      </c>
      <c r="Q29" s="151">
        <v>35.547458015630134</v>
      </c>
      <c r="R29" s="151">
        <v>35.253677732169812</v>
      </c>
      <c r="S29" s="151">
        <v>35.032107918143659</v>
      </c>
      <c r="T29" s="151">
        <v>34.868447124910446</v>
      </c>
      <c r="U29" s="151">
        <v>34.752529009121048</v>
      </c>
      <c r="V29" s="151">
        <v>34.676885158966456</v>
      </c>
      <c r="W29" s="151">
        <v>34.635882092729986</v>
      </c>
      <c r="X29" s="151">
        <v>34.625177622040596</v>
      </c>
      <c r="AB29" s="12">
        <f t="shared" si="0"/>
        <v>24</v>
      </c>
      <c r="AC29" s="18" t="s">
        <v>130</v>
      </c>
      <c r="AD29" s="11"/>
      <c r="AE29" s="11"/>
    </row>
    <row r="30" spans="8:31" x14ac:dyDescent="0.2">
      <c r="I30" s="154"/>
      <c r="J30" s="160" t="s">
        <v>131</v>
      </c>
      <c r="K30" s="155" cm="1">
        <f t="array" ref="K30:X30">8.3%*(_xlfn.ANCHORARRAY(K24)+_xlfn.ANCHORARRAY(K27))+54%*_xlfn.ANCHORARRAY(K28)+(106000*USD_to_CAD)/1000000</f>
        <v>11.226480852690775</v>
      </c>
      <c r="L30" s="155">
        <v>11.044386799367031</v>
      </c>
      <c r="M30" s="155">
        <v>10.995082075243539</v>
      </c>
      <c r="N30" s="155">
        <v>11.009818649917747</v>
      </c>
      <c r="O30" s="155">
        <v>11.063358594046949</v>
      </c>
      <c r="P30" s="155">
        <v>11.143542890668691</v>
      </c>
      <c r="Q30" s="155">
        <v>11.24360539205257</v>
      </c>
      <c r="R30" s="155">
        <v>11.359419626455727</v>
      </c>
      <c r="S30" s="155">
        <v>11.488304424330009</v>
      </c>
      <c r="T30" s="155">
        <v>11.628436121117018</v>
      </c>
      <c r="U30" s="155">
        <v>11.77853176051436</v>
      </c>
      <c r="V30" s="155">
        <v>11.937666131997634</v>
      </c>
      <c r="W30" s="155">
        <v>12.105160171462602</v>
      </c>
      <c r="X30" s="155">
        <v>12.280509804353775</v>
      </c>
      <c r="AB30" s="12">
        <f t="shared" si="0"/>
        <v>25</v>
      </c>
      <c r="AC30" s="18" t="s">
        <v>68</v>
      </c>
      <c r="AD30" s="16"/>
      <c r="AE30" s="11"/>
    </row>
    <row r="31" spans="8:31" x14ac:dyDescent="0.2">
      <c r="I31" s="154"/>
      <c r="J31" s="160" t="s">
        <v>132</v>
      </c>
      <c r="K31" s="155" cm="1">
        <f t="array" ref="K31:X31">INDEX(jurisdictional_inputs,_xlfn.XMATCH("Sales Tax",jurisdictional_inputs_rows),_xlfn.XMATCH(selected.location,jurisdictions))*_xlfn.ANCHORARRAY(K21)</f>
        <v>13.241079138482554</v>
      </c>
      <c r="L31" s="155">
        <v>11.90087718887489</v>
      </c>
      <c r="M31" s="155">
        <v>11.125630675163569</v>
      </c>
      <c r="N31" s="155">
        <v>10.583290366948159</v>
      </c>
      <c r="O31" s="155">
        <v>10.16867280609387</v>
      </c>
      <c r="P31" s="155">
        <v>9.8347007135915838</v>
      </c>
      <c r="Q31" s="155">
        <v>9.556212480478024</v>
      </c>
      <c r="R31" s="155">
        <v>9.3181832696830256</v>
      </c>
      <c r="S31" s="155">
        <v>9.1109273796435666</v>
      </c>
      <c r="T31" s="155">
        <v>8.9278393306253623</v>
      </c>
      <c r="U31" s="155">
        <v>8.7642151856357415</v>
      </c>
      <c r="V31" s="155">
        <v>8.6165881983670083</v>
      </c>
      <c r="W31" s="155">
        <v>8.4823310876377587</v>
      </c>
      <c r="X31" s="155">
        <v>8.3594060946659532</v>
      </c>
      <c r="AB31" s="12">
        <f t="shared" si="0"/>
        <v>26</v>
      </c>
      <c r="AC31" s="18" t="s">
        <v>70</v>
      </c>
      <c r="AD31" s="11"/>
      <c r="AE31" s="11"/>
    </row>
    <row r="32" spans="8:31" x14ac:dyDescent="0.2">
      <c r="I32" s="154"/>
      <c r="J32" s="160" t="s">
        <v>133</v>
      </c>
      <c r="K32" s="155" cm="1">
        <f t="array" ref="K32:X32">(0.02*USD_to_CAD*solar_selected.inverter.capacity*1000*1000+209466*USD_to_CAD)/1000/1000</f>
        <v>2.8723057999999995</v>
      </c>
      <c r="L32" s="155">
        <v>2.8723057999999995</v>
      </c>
      <c r="M32" s="155">
        <v>2.8723057999999995</v>
      </c>
      <c r="N32" s="155">
        <v>2.8723057999999995</v>
      </c>
      <c r="O32" s="155">
        <v>2.8723057999999995</v>
      </c>
      <c r="P32" s="155">
        <v>2.8723057999999995</v>
      </c>
      <c r="Q32" s="155">
        <v>2.8723057999999995</v>
      </c>
      <c r="R32" s="155">
        <v>2.8723057999999995</v>
      </c>
      <c r="S32" s="155">
        <v>2.8723057999999995</v>
      </c>
      <c r="T32" s="155">
        <v>2.8723057999999995</v>
      </c>
      <c r="U32" s="155">
        <v>2.8723057999999995</v>
      </c>
      <c r="V32" s="155">
        <v>2.8723057999999995</v>
      </c>
      <c r="W32" s="155">
        <v>2.8723057999999995</v>
      </c>
      <c r="X32" s="155">
        <v>2.8723057999999995</v>
      </c>
      <c r="AB32" s="12">
        <f t="shared" si="0"/>
        <v>27</v>
      </c>
      <c r="AC32" s="18" t="s">
        <v>68</v>
      </c>
      <c r="AD32" s="16"/>
      <c r="AE32" s="11"/>
    </row>
    <row r="33" spans="8:31" x14ac:dyDescent="0.2">
      <c r="I33" s="154"/>
      <c r="J33" s="160" t="s">
        <v>134</v>
      </c>
      <c r="K33" s="155" cm="1">
        <f t="array" ref="K33:X33">(550000*USD_to_CAD)/1000000+1.5%*(_xlfn.ANCHORARRAY(K22)+_xlfn.ANCHORARRAY(K23)+_xlfn.ANCHORARRAY(K24)+_xlfn.ANCHORARRAY(K26)+_xlfn.ANCHORARRAY(K30)+_xlfn.ANCHORARRAY(K32)+_xlfn.ANCHORARRAY(K31))</f>
        <v>2.9910454815548069</v>
      </c>
      <c r="L33" s="155">
        <v>2.811274263744119</v>
      </c>
      <c r="M33" s="155">
        <v>2.709606514419769</v>
      </c>
      <c r="N33" s="155">
        <v>2.6405979282362453</v>
      </c>
      <c r="O33" s="155">
        <v>2.5896779319534509</v>
      </c>
      <c r="P33" s="155">
        <v>2.5502801233625516</v>
      </c>
      <c r="Q33" s="155">
        <v>2.5188803640028397</v>
      </c>
      <c r="R33" s="155">
        <v>2.4933691669356257</v>
      </c>
      <c r="S33" s="155">
        <v>2.4723850357607851</v>
      </c>
      <c r="T33" s="155">
        <v>2.4549992599736186</v>
      </c>
      <c r="U33" s="155">
        <v>2.4405509155156078</v>
      </c>
      <c r="V33" s="155">
        <v>2.4285536300651027</v>
      </c>
      <c r="W33" s="155">
        <v>2.4186396547380848</v>
      </c>
      <c r="X33" s="155">
        <v>2.410524660540398</v>
      </c>
      <c r="AB33" s="12">
        <f t="shared" si="0"/>
        <v>28</v>
      </c>
      <c r="AC33" s="18" t="s">
        <v>135</v>
      </c>
      <c r="AD33" s="16"/>
      <c r="AE33" s="11"/>
    </row>
    <row r="34" spans="8:31" x14ac:dyDescent="0.2">
      <c r="I34" s="154"/>
      <c r="J34" s="160" t="s">
        <v>136</v>
      </c>
      <c r="K34" s="155" cm="1">
        <f t="array" ref="K34:X34">3%*(_xlfn.ANCHORARRAY(K22)+_xlfn.ANCHORARRAY(K23)+_xlfn.ANCHORARRAY(K24)+_xlfn.ANCHORARRAY(K30)+_xlfn.ANCHORARRAY(K31)+_xlfn.ANCHORARRAY(K32))</f>
        <v>3.838089621077327</v>
      </c>
      <c r="L34" s="155">
        <v>3.4831433680030011</v>
      </c>
      <c r="M34" s="155">
        <v>3.2795037892422672</v>
      </c>
      <c r="N34" s="155">
        <v>3.138520221494014</v>
      </c>
      <c r="O34" s="155">
        <v>3.0320069174105018</v>
      </c>
      <c r="P34" s="155">
        <v>2.9473228006489434</v>
      </c>
      <c r="Q34" s="155">
        <v>2.8777035133631541</v>
      </c>
      <c r="R34" s="155">
        <v>2.8191072461956299</v>
      </c>
      <c r="S34" s="155">
        <v>2.7689278311138765</v>
      </c>
      <c r="T34" s="155">
        <v>2.72538805231197</v>
      </c>
      <c r="U34" s="155">
        <v>2.6872227790696739</v>
      </c>
      <c r="V34" s="155">
        <v>2.6535002343033258</v>
      </c>
      <c r="W34" s="155">
        <v>2.6235149319971089</v>
      </c>
      <c r="X34" s="155">
        <v>2.596720365124273</v>
      </c>
      <c r="AB34" s="12">
        <f t="shared" si="0"/>
        <v>29</v>
      </c>
      <c r="AC34" s="18" t="s">
        <v>137</v>
      </c>
      <c r="AD34" s="16"/>
      <c r="AE34" s="11"/>
    </row>
    <row r="35" spans="8:31" x14ac:dyDescent="0.2">
      <c r="I35" s="154"/>
      <c r="J35" s="160" t="s">
        <v>138</v>
      </c>
      <c r="K35" s="155" cm="1">
        <f t="array" ref="K35:X35">(200000*USD_to_CAD)/1000000+4.9%*(_xlfn.ANCHORARRAY(K21)+_xlfn.ANCHORARRAY(K26)+_xlfn.ANCHORARRAY(K30)+_xlfn.ANCHORARRAY(K31)+_xlfn.ANCHORARRAY(K32)+_xlfn.ANCHORARRAY(K33)+_xlfn.ANCHORARRAY(K34))</f>
        <v>8.0913515264413451</v>
      </c>
      <c r="L35" s="155">
        <v>7.4778977255197319</v>
      </c>
      <c r="M35" s="155">
        <v>7.1308230186506858</v>
      </c>
      <c r="N35" s="155">
        <v>6.8951053549085186</v>
      </c>
      <c r="O35" s="155">
        <v>6.721052468666775</v>
      </c>
      <c r="P35" s="155">
        <v>6.5862729462608982</v>
      </c>
      <c r="Q35" s="155">
        <v>6.478750465733544</v>
      </c>
      <c r="R35" s="155">
        <v>6.3912926228998073</v>
      </c>
      <c r="S35" s="155">
        <v>6.3192574472954215</v>
      </c>
      <c r="T35" s="155">
        <v>6.2594785608824797</v>
      </c>
      <c r="U35" s="155">
        <v>6.209702568385663</v>
      </c>
      <c r="V35" s="155">
        <v>6.1682711642333876</v>
      </c>
      <c r="W35" s="155">
        <v>6.1339304468944347</v>
      </c>
      <c r="X35" s="155">
        <v>6.1057108973562029</v>
      </c>
      <c r="AB35" s="12">
        <f t="shared" si="0"/>
        <v>30</v>
      </c>
      <c r="AC35" s="18" t="s">
        <v>139</v>
      </c>
      <c r="AD35" s="16"/>
      <c r="AE35" s="11"/>
    </row>
    <row r="36" spans="8:31" x14ac:dyDescent="0.2">
      <c r="I36" s="19" t="s">
        <v>140</v>
      </c>
      <c r="J36" s="160"/>
      <c r="K36" s="166" cm="1">
        <f t="array" ref="K36:X36">(K39:X39+K38:X38)*(K37:X37)</f>
        <v>0</v>
      </c>
      <c r="L36" s="166">
        <v>0</v>
      </c>
      <c r="M36" s="166">
        <v>0</v>
      </c>
      <c r="N36" s="166">
        <v>0</v>
      </c>
      <c r="O36" s="166">
        <v>0</v>
      </c>
      <c r="P36" s="166">
        <v>0</v>
      </c>
      <c r="Q36" s="166">
        <v>0</v>
      </c>
      <c r="R36" s="166">
        <v>0</v>
      </c>
      <c r="S36" s="166">
        <v>0</v>
      </c>
      <c r="T36" s="166">
        <v>0</v>
      </c>
      <c r="U36" s="166">
        <v>0</v>
      </c>
      <c r="V36" s="166">
        <v>0</v>
      </c>
      <c r="W36" s="166">
        <v>0</v>
      </c>
      <c r="X36" s="166">
        <v>0</v>
      </c>
      <c r="AB36" s="12">
        <f t="shared" si="0"/>
        <v>31</v>
      </c>
      <c r="AC36" s="18"/>
      <c r="AD36" s="16"/>
      <c r="AE36" s="11"/>
    </row>
    <row r="37" spans="8:31" x14ac:dyDescent="0.2">
      <c r="J37" s="160" t="s">
        <v>141</v>
      </c>
      <c r="K37" s="203">
        <v>0</v>
      </c>
      <c r="L37" s="203">
        <v>0</v>
      </c>
      <c r="M37" s="203">
        <v>0</v>
      </c>
      <c r="N37" s="203">
        <v>0</v>
      </c>
      <c r="O37" s="203">
        <v>0</v>
      </c>
      <c r="P37" s="203">
        <v>0</v>
      </c>
      <c r="Q37" s="203">
        <v>0</v>
      </c>
      <c r="R37" s="203">
        <v>0</v>
      </c>
      <c r="S37" s="203">
        <v>0</v>
      </c>
      <c r="T37" s="203">
        <v>0</v>
      </c>
      <c r="U37" s="203">
        <v>0</v>
      </c>
      <c r="V37" s="203">
        <v>0</v>
      </c>
      <c r="W37" s="203">
        <v>0</v>
      </c>
      <c r="X37" s="203">
        <v>0</v>
      </c>
      <c r="AB37" s="12">
        <f t="shared" si="0"/>
        <v>32</v>
      </c>
      <c r="AC37" s="18" t="s">
        <v>142</v>
      </c>
      <c r="AD37" s="16"/>
      <c r="AE37" s="11"/>
    </row>
    <row r="38" spans="8:31" x14ac:dyDescent="0.2">
      <c r="J38" s="160" t="s">
        <v>143</v>
      </c>
      <c r="K38" s="202" cm="1">
        <f t="array" ref="K38">INDEX($K$23:$X$23,,10+K$4-2022)</f>
        <v>3.6471563977065498</v>
      </c>
      <c r="L38" s="202" cm="1">
        <f t="array" ref="L38">INDEX($K$23:$X$23,,10+L$4-2022)</f>
        <v>3.5423151999217923</v>
      </c>
      <c r="M38" s="202" cm="1">
        <f t="array" ref="M38">INDEX($K$23:$X$23,,10+M$4-2022)</f>
        <v>3.4466026852331995</v>
      </c>
      <c r="N38" s="202" cm="1">
        <f t="array" ref="N38">INDEX($K$23:$X$23,,10+N$4-2022)</f>
        <v>3.35855570679231</v>
      </c>
      <c r="O38" s="202" cm="1">
        <f t="array" ref="O38">INDEX($K$23:$X$23,,10+O$4-2022)</f>
        <v>3.2770369374232158</v>
      </c>
      <c r="P38" s="202">
        <f>O38</f>
        <v>3.2770369374232158</v>
      </c>
      <c r="Q38" s="202">
        <f t="shared" ref="Q38:X38" si="1">P38</f>
        <v>3.2770369374232158</v>
      </c>
      <c r="R38" s="202">
        <f t="shared" si="1"/>
        <v>3.2770369374232158</v>
      </c>
      <c r="S38" s="202">
        <f t="shared" si="1"/>
        <v>3.2770369374232158</v>
      </c>
      <c r="T38" s="202">
        <f t="shared" si="1"/>
        <v>3.2770369374232158</v>
      </c>
      <c r="U38" s="202">
        <f t="shared" si="1"/>
        <v>3.2770369374232158</v>
      </c>
      <c r="V38" s="202">
        <f t="shared" si="1"/>
        <v>3.2770369374232158</v>
      </c>
      <c r="W38" s="202">
        <f t="shared" si="1"/>
        <v>3.2770369374232158</v>
      </c>
      <c r="X38" s="202">
        <f t="shared" si="1"/>
        <v>3.2770369374232158</v>
      </c>
      <c r="Y38" s="202"/>
      <c r="AB38" s="12">
        <f t="shared" si="0"/>
        <v>33</v>
      </c>
      <c r="AC38" s="18" t="s">
        <v>144</v>
      </c>
      <c r="AD38" s="16"/>
      <c r="AE38" s="11"/>
    </row>
    <row r="39" spans="8:31" x14ac:dyDescent="0.2">
      <c r="I39" s="154"/>
      <c r="J39" s="160" t="s">
        <v>145</v>
      </c>
      <c r="K39" s="202">
        <f>$S$38</f>
        <v>3.2770369374232158</v>
      </c>
      <c r="L39" s="202">
        <f t="shared" ref="L39:X39" si="2">$S$38</f>
        <v>3.2770369374232158</v>
      </c>
      <c r="M39" s="202">
        <f t="shared" si="2"/>
        <v>3.2770369374232158</v>
      </c>
      <c r="N39" s="202">
        <f t="shared" si="2"/>
        <v>3.2770369374232158</v>
      </c>
      <c r="O39" s="202">
        <f t="shared" si="2"/>
        <v>3.2770369374232158</v>
      </c>
      <c r="P39" s="202">
        <f t="shared" si="2"/>
        <v>3.2770369374232158</v>
      </c>
      <c r="Q39" s="202">
        <f t="shared" si="2"/>
        <v>3.2770369374232158</v>
      </c>
      <c r="R39" s="202">
        <f t="shared" si="2"/>
        <v>3.2770369374232158</v>
      </c>
      <c r="S39" s="202">
        <f t="shared" si="2"/>
        <v>3.2770369374232158</v>
      </c>
      <c r="T39" s="202">
        <f t="shared" si="2"/>
        <v>3.2770369374232158</v>
      </c>
      <c r="U39" s="202">
        <f t="shared" si="2"/>
        <v>3.2770369374232158</v>
      </c>
      <c r="V39" s="202">
        <f t="shared" si="2"/>
        <v>3.2770369374232158</v>
      </c>
      <c r="W39" s="202">
        <f t="shared" si="2"/>
        <v>3.2770369374232158</v>
      </c>
      <c r="X39" s="202">
        <f t="shared" si="2"/>
        <v>3.2770369374232158</v>
      </c>
      <c r="AB39" s="12">
        <f t="shared" si="0"/>
        <v>34</v>
      </c>
      <c r="AC39" s="18" t="s">
        <v>146</v>
      </c>
      <c r="AD39" s="16"/>
      <c r="AE39" s="11"/>
    </row>
    <row r="40" spans="8:31" x14ac:dyDescent="0.2">
      <c r="I40" s="154"/>
      <c r="J40" s="160"/>
      <c r="K40" s="155"/>
      <c r="L40" s="155"/>
      <c r="M40" s="155"/>
      <c r="N40" s="155"/>
      <c r="O40" s="155"/>
      <c r="P40" s="155"/>
      <c r="Q40" s="155"/>
      <c r="R40" s="155"/>
      <c r="S40" s="155"/>
      <c r="T40" s="155"/>
      <c r="U40" s="155"/>
      <c r="V40" s="155"/>
      <c r="W40" s="155"/>
      <c r="X40" s="155"/>
      <c r="AB40" s="12">
        <f t="shared" si="0"/>
        <v>35</v>
      </c>
      <c r="AC40" s="18"/>
      <c r="AD40" s="16"/>
      <c r="AE40" s="11"/>
    </row>
    <row r="41" spans="8:31" x14ac:dyDescent="0.2">
      <c r="H41" s="19" t="str">
        <f>"OPEX (2022$M/year) - "&amp;selected.location</f>
        <v>OPEX (2022$M/year) - Ontario</v>
      </c>
      <c r="J41" s="210"/>
      <c r="K41" s="151" cm="1">
        <f t="array" ref="K41:X41">_xlfn.ANCHORARRAY(K42)+_xlfn.ANCHORARRAY(K43)+_xlfn.ANCHORARRAY(K44)</f>
        <v>5.5792785714285724</v>
      </c>
      <c r="L41" s="151">
        <v>5.5660002907643689</v>
      </c>
      <c r="M41" s="151">
        <v>5.5525221372768607</v>
      </c>
      <c r="N41" s="151">
        <v>5.5388407748083397</v>
      </c>
      <c r="O41" s="151">
        <v>5.5249530478155675</v>
      </c>
      <c r="P41" s="151">
        <v>5.510855969310267</v>
      </c>
      <c r="Q41" s="151">
        <v>5.4965467097531029</v>
      </c>
      <c r="R41" s="151">
        <v>5.4820225868143995</v>
      </c>
      <c r="S41" s="151">
        <v>5.4672810559236265</v>
      </c>
      <c r="T41" s="151">
        <v>5.4834202632472575</v>
      </c>
      <c r="U41" s="151">
        <v>5.4995228468909163</v>
      </c>
      <c r="V41" s="151">
        <v>5.5155887373603338</v>
      </c>
      <c r="W41" s="151">
        <v>5.5316178666719891</v>
      </c>
      <c r="X41" s="151">
        <v>5.5476101683122749</v>
      </c>
      <c r="AB41" s="12">
        <f t="shared" si="0"/>
        <v>36</v>
      </c>
      <c r="AC41" s="18" t="s">
        <v>147</v>
      </c>
    </row>
    <row r="42" spans="8:31" x14ac:dyDescent="0.2">
      <c r="I42" s="154"/>
      <c r="J42" s="160" t="s">
        <v>148</v>
      </c>
      <c r="K42" s="155" cm="1">
        <f t="array" ref="K42:X42">(_xlfn.ANCHORARRAY(K59)+_xlfn.ANCHORARRAY(K60))*solar_selected.module.capacity*1000/1000000</f>
        <v>1.4025000000000003</v>
      </c>
      <c r="L42" s="155">
        <v>1.371353147907225</v>
      </c>
      <c r="M42" s="155">
        <v>1.3400064229911453</v>
      </c>
      <c r="N42" s="155">
        <v>1.3084564890940529</v>
      </c>
      <c r="O42" s="155">
        <v>1.2767001906727096</v>
      </c>
      <c r="P42" s="155">
        <v>1.2447345407388366</v>
      </c>
      <c r="Q42" s="155">
        <v>1.2125567097531014</v>
      </c>
      <c r="R42" s="155">
        <v>1.1801640153858255</v>
      </c>
      <c r="S42" s="155">
        <v>1.1475539130664816</v>
      </c>
      <c r="T42" s="155">
        <v>1.1458245489615424</v>
      </c>
      <c r="U42" s="155">
        <v>1.1440585611766281</v>
      </c>
      <c r="V42" s="155">
        <v>1.1422558802174736</v>
      </c>
      <c r="W42" s="155">
        <v>1.1404164381005577</v>
      </c>
      <c r="X42" s="155">
        <v>1.1385401683122742</v>
      </c>
      <c r="AB42" s="12">
        <f t="shared" si="0"/>
        <v>37</v>
      </c>
      <c r="AC42" s="18" t="s">
        <v>149</v>
      </c>
    </row>
    <row r="43" spans="8:31" x14ac:dyDescent="0.2">
      <c r="I43" s="154"/>
      <c r="J43" s="160" t="s">
        <v>150</v>
      </c>
      <c r="K43" s="155" cm="1">
        <f t="array" ref="K43:X43">_xlfn.ANCHORARRAY(K61)*solar_selected.module.capacity*1000/1000000</f>
        <v>4.0071428571428571</v>
      </c>
      <c r="L43" s="155">
        <v>4.0242857142857149</v>
      </c>
      <c r="M43" s="155">
        <v>4.0414285714285727</v>
      </c>
      <c r="N43" s="155">
        <v>4.0585714285714296</v>
      </c>
      <c r="O43" s="155">
        <v>4.0757142857142865</v>
      </c>
      <c r="P43" s="155">
        <v>4.0928571428571443</v>
      </c>
      <c r="Q43" s="155">
        <v>4.1100000000000021</v>
      </c>
      <c r="R43" s="155">
        <v>4.1271428571428599</v>
      </c>
      <c r="S43" s="155">
        <v>4.1442857142857168</v>
      </c>
      <c r="T43" s="155">
        <v>4.1614285714285728</v>
      </c>
      <c r="U43" s="155">
        <v>4.1785714285714306</v>
      </c>
      <c r="V43" s="155">
        <v>4.1957142857142884</v>
      </c>
      <c r="W43" s="155">
        <v>4.2128571428571453</v>
      </c>
      <c r="X43" s="155">
        <v>4.2300000000000004</v>
      </c>
      <c r="AB43" s="12">
        <f t="shared" si="0"/>
        <v>38</v>
      </c>
      <c r="AC43" s="18" t="s">
        <v>151</v>
      </c>
    </row>
    <row r="44" spans="8:31" x14ac:dyDescent="0.2">
      <c r="I44" s="154"/>
      <c r="J44" s="160" t="s">
        <v>152</v>
      </c>
      <c r="K44" s="155" cm="1">
        <f t="array" ref="K44:X44">_xlfn.ANCHORARRAY(K62)*solar_selected.module.capacity*1000/1000/1000</f>
        <v>0.16963571428571431</v>
      </c>
      <c r="L44" s="155">
        <v>0.17036142857142861</v>
      </c>
      <c r="M44" s="155">
        <v>0.17108714285714291</v>
      </c>
      <c r="N44" s="155">
        <v>0.17181285714285721</v>
      </c>
      <c r="O44" s="155">
        <v>0.17253857142857146</v>
      </c>
      <c r="P44" s="155">
        <v>0.17326428571428576</v>
      </c>
      <c r="Q44" s="155">
        <v>0.17399000000000006</v>
      </c>
      <c r="R44" s="155">
        <v>0.17471571428571436</v>
      </c>
      <c r="S44" s="155">
        <v>0.17544142857142866</v>
      </c>
      <c r="T44" s="155">
        <v>0.17616714285714294</v>
      </c>
      <c r="U44" s="155">
        <v>0.17689285714285724</v>
      </c>
      <c r="V44" s="155">
        <v>0.17761857142857157</v>
      </c>
      <c r="W44" s="155">
        <v>0.17834428571428584</v>
      </c>
      <c r="X44" s="155">
        <v>0.17907000000000001</v>
      </c>
      <c r="AB44" s="12">
        <f t="shared" si="0"/>
        <v>39</v>
      </c>
      <c r="AC44" s="18" t="s">
        <v>153</v>
      </c>
    </row>
    <row r="45" spans="8:31" x14ac:dyDescent="0.2">
      <c r="AB45" s="12">
        <f t="shared" si="0"/>
        <v>40</v>
      </c>
      <c r="AC45" s="18"/>
    </row>
    <row r="46" spans="8:31" x14ac:dyDescent="0.2">
      <c r="H46" s="156" t="s">
        <v>81</v>
      </c>
      <c r="AB46" s="12">
        <f t="shared" si="0"/>
        <v>41</v>
      </c>
      <c r="AC46" s="18"/>
    </row>
    <row r="47" spans="8:31" x14ac:dyDescent="0.2">
      <c r="I47" s="19" t="s">
        <v>82</v>
      </c>
      <c r="AB47" s="12">
        <f t="shared" si="0"/>
        <v>42</v>
      </c>
      <c r="AC47" s="18"/>
    </row>
    <row r="48" spans="8:31" x14ac:dyDescent="0.2">
      <c r="J48" s="160" t="s">
        <v>154</v>
      </c>
      <c r="K48" s="155" cm="1">
        <f t="array" ref="K48:X48">_xlfn.IFS(selected.location="Canada",forecast_solar.module.costs_CA,selected.location="Alberta",forecast_solar.module.costs_AB,selected.location="Ontario",forecast_solar.module.costs_ON)</f>
        <v>0.46</v>
      </c>
      <c r="L48" s="155">
        <v>0.40306291016829021</v>
      </c>
      <c r="M48" s="155">
        <v>0.36975684771654815</v>
      </c>
      <c r="N48" s="155">
        <v>0.34612582033658046</v>
      </c>
      <c r="O48" s="155">
        <v>0.32779617147862755</v>
      </c>
      <c r="P48" s="155">
        <v>0.31281975788483835</v>
      </c>
      <c r="Q48" s="155">
        <v>0.3001573806133136</v>
      </c>
      <c r="R48" s="155">
        <v>0.28918873050487065</v>
      </c>
      <c r="S48" s="155">
        <v>0.27951369543309623</v>
      </c>
      <c r="T48" s="155">
        <v>0.27085908164691769</v>
      </c>
      <c r="U48" s="155">
        <v>0.26303003116299101</v>
      </c>
      <c r="V48" s="155">
        <v>0.25588266805312859</v>
      </c>
      <c r="W48" s="155">
        <v>0.24930773135137377</v>
      </c>
      <c r="X48" s="155">
        <v>0.24322029078160379</v>
      </c>
      <c r="AB48" s="12">
        <f t="shared" si="0"/>
        <v>43</v>
      </c>
      <c r="AC48" s="18" t="s">
        <v>116</v>
      </c>
      <c r="AD48" s="17"/>
      <c r="AE48" s="11"/>
    </row>
    <row r="49" spans="9:31" x14ac:dyDescent="0.2">
      <c r="J49" s="160" t="s">
        <v>155</v>
      </c>
      <c r="K49" s="155" cm="1">
        <f t="array" ref="K49:X49">_xlfn.IFS(selected.location="Canada",forecast_solar.inverter.costs_CA,selected.location="Alberta",forecast_solar.inverter.costs_AB,selected.location="Ontario",forecast_solar.inverter.costs_ON)</f>
        <v>6.1800000000000001E-2</v>
      </c>
      <c r="L49" s="155">
        <v>5.4175381013840604E-2</v>
      </c>
      <c r="M49" s="155">
        <v>4.9715264824650794E-2</v>
      </c>
      <c r="N49" s="155">
        <v>4.6550762027681207E-2</v>
      </c>
      <c r="O49" s="155">
        <v>4.40961829632249E-2</v>
      </c>
      <c r="P49" s="155">
        <v>4.2090645838491397E-2</v>
      </c>
      <c r="Q49" s="155">
        <v>4.0394988360391557E-2</v>
      </c>
      <c r="R49" s="155">
        <v>3.892614304152181E-2</v>
      </c>
      <c r="S49" s="155">
        <v>3.7630529649301588E-2</v>
      </c>
      <c r="T49" s="155">
        <v>3.6471563977065496E-2</v>
      </c>
      <c r="U49" s="155">
        <v>3.5423151999217924E-2</v>
      </c>
      <c r="V49" s="155">
        <v>3.4466026852331993E-2</v>
      </c>
      <c r="W49" s="155">
        <v>3.35855570679231E-2</v>
      </c>
      <c r="X49" s="155">
        <v>3.277036937423216E-2</v>
      </c>
      <c r="AB49" s="12">
        <f t="shared" si="0"/>
        <v>44</v>
      </c>
      <c r="AC49" s="18" t="s">
        <v>116</v>
      </c>
      <c r="AD49" s="16"/>
      <c r="AE49" s="11"/>
    </row>
    <row r="50" spans="9:31" x14ac:dyDescent="0.2">
      <c r="J50" s="160" t="s">
        <v>156</v>
      </c>
      <c r="K50" s="158" cm="1">
        <f t="array" ref="K50:X50">_xlfn.IFS(selected.location="Canada",forecast_solar.struct.BOS.costs_CA,selected.location="Alberta",forecast_solar.struct.BOS.costs_AB,selected.location="Ontario",forecast_solar.struct.BOS.costs_ON)</f>
        <v>38.394409677419397</v>
      </c>
      <c r="L50" s="158">
        <v>36.426949416696985</v>
      </c>
      <c r="M50" s="158">
        <v>35.276058942515313</v>
      </c>
      <c r="N50" s="158">
        <v>34.45948915597458</v>
      </c>
      <c r="O50" s="158">
        <v>33.826108422473624</v>
      </c>
      <c r="P50" s="158">
        <v>33.308598681792901</v>
      </c>
      <c r="Q50" s="158">
        <v>32.871050430527603</v>
      </c>
      <c r="R50" s="158">
        <v>32.492028895252169</v>
      </c>
      <c r="S50" s="158">
        <v>32.157708207611222</v>
      </c>
      <c r="T50" s="158">
        <v>31.858648161751209</v>
      </c>
      <c r="U50" s="158">
        <v>31.588115443063913</v>
      </c>
      <c r="V50" s="158">
        <v>31.34113842107049</v>
      </c>
      <c r="W50" s="158">
        <v>31.113941584777965</v>
      </c>
      <c r="X50" s="158">
        <v>30.903590169805199</v>
      </c>
      <c r="AB50" s="12">
        <f t="shared" si="0"/>
        <v>45</v>
      </c>
      <c r="AC50" s="18" t="s">
        <v>116</v>
      </c>
      <c r="AD50" s="16"/>
      <c r="AE50" s="11"/>
    </row>
    <row r="51" spans="9:31" x14ac:dyDescent="0.2">
      <c r="J51" s="160" t="s">
        <v>157</v>
      </c>
      <c r="K51" s="158" cm="1">
        <f t="array" ref="K51:X51">_xlfn.IFS(selected.location="Canada",forecast_solar.electrical.BOS.costs_CA,selected.location="Alberta",forecast_solar.electrical.BOS.costs_AB,selected.location="Ontario",forecast_solar.electrical.BOS.costs_ON)</f>
        <v>15.375007142857276</v>
      </c>
      <c r="L51" s="158">
        <v>14.717725377840013</v>
      </c>
      <c r="M51" s="158">
        <v>14.333240192897097</v>
      </c>
      <c r="N51" s="158">
        <v>14.060443612822748</v>
      </c>
      <c r="O51" s="158">
        <v>13.848846146406538</v>
      </c>
      <c r="P51" s="158">
        <v>13.675958427879834</v>
      </c>
      <c r="Q51" s="158">
        <v>13.529783944657352</v>
      </c>
      <c r="R51" s="158">
        <v>13.403161847805485</v>
      </c>
      <c r="S51" s="158">
        <v>13.291473242936922</v>
      </c>
      <c r="T51" s="158">
        <v>13.191564381389274</v>
      </c>
      <c r="U51" s="158">
        <v>13.101185822602824</v>
      </c>
      <c r="V51" s="158">
        <v>13.018676662862569</v>
      </c>
      <c r="W51" s="158">
        <v>12.942775593577514</v>
      </c>
      <c r="X51" s="158">
        <v>12.87250217964009</v>
      </c>
      <c r="AB51" s="12">
        <f t="shared" si="0"/>
        <v>46</v>
      </c>
      <c r="AC51" s="18" t="s">
        <v>116</v>
      </c>
      <c r="AD51" s="16"/>
      <c r="AE51" s="11"/>
    </row>
    <row r="52" spans="9:31" x14ac:dyDescent="0.2">
      <c r="J52" s="160" t="s">
        <v>158</v>
      </c>
      <c r="K52" s="159" cm="1">
        <f t="array" ref="K52:X52">forecast_solar.electrical.BOS.costs.fixed_CA</f>
        <v>67080.650000000591</v>
      </c>
      <c r="L52" s="159">
        <v>64212.444099728171</v>
      </c>
      <c r="M52" s="159">
        <v>62534.651203721653</v>
      </c>
      <c r="N52" s="159">
        <v>61344.238199455765</v>
      </c>
      <c r="O52" s="159">
        <v>60420.882138236375</v>
      </c>
      <c r="P52" s="159">
        <v>59666.445303449247</v>
      </c>
      <c r="Q52" s="159">
        <v>59028.578048396179</v>
      </c>
      <c r="R52" s="159">
        <v>58476.03229918336</v>
      </c>
      <c r="S52" s="159">
        <v>57988.652407442729</v>
      </c>
      <c r="T52" s="159">
        <v>57552.676237963977</v>
      </c>
      <c r="U52" s="159">
        <v>57158.287819836158</v>
      </c>
      <c r="V52" s="159">
        <v>56798.239403176842</v>
      </c>
      <c r="W52" s="159">
        <v>56467.026966825935</v>
      </c>
      <c r="X52" s="159">
        <v>56160.372148123774</v>
      </c>
      <c r="AB52" s="12">
        <f t="shared" si="0"/>
        <v>47</v>
      </c>
      <c r="AC52" s="18" t="s">
        <v>116</v>
      </c>
      <c r="AD52" s="16"/>
      <c r="AE52" s="11"/>
    </row>
    <row r="53" spans="9:31" x14ac:dyDescent="0.2">
      <c r="J53" s="160" t="s">
        <v>159</v>
      </c>
      <c r="K53" s="164" cm="1">
        <f t="array" ref="K53:X53">_xlfn.IFS(selected.location="Canada",forecast_solar.grid.connection.costs_CA,selected.location="Alberta",forecast_solar.grid.connection.costs_AB,selected.location="Ontario",forecast_solar.grid.connection.costs_ON)</f>
        <v>0.73999999999999988</v>
      </c>
      <c r="L53" s="164">
        <v>0.73999999999999988</v>
      </c>
      <c r="M53" s="164">
        <v>0.73999999999999988</v>
      </c>
      <c r="N53" s="164">
        <v>0.73999999999999988</v>
      </c>
      <c r="O53" s="164">
        <v>0.73999999999999988</v>
      </c>
      <c r="P53" s="164">
        <v>0.73999999999999988</v>
      </c>
      <c r="Q53" s="164">
        <v>0.73999999999999988</v>
      </c>
      <c r="R53" s="164">
        <v>0.73999999999999988</v>
      </c>
      <c r="S53" s="164">
        <v>0.73999999999999988</v>
      </c>
      <c r="T53" s="164">
        <v>0.73999999999999988</v>
      </c>
      <c r="U53" s="164">
        <v>0.73999999999999988</v>
      </c>
      <c r="V53" s="164">
        <v>0.73999999999999988</v>
      </c>
      <c r="W53" s="164">
        <v>0.73999999999999988</v>
      </c>
      <c r="X53" s="164">
        <v>0.73999999999999988</v>
      </c>
      <c r="AB53" s="12">
        <f t="shared" si="0"/>
        <v>48</v>
      </c>
      <c r="AC53" s="18" t="s">
        <v>116</v>
      </c>
      <c r="AD53" s="16"/>
      <c r="AE53" s="11"/>
    </row>
    <row r="54" spans="9:31" x14ac:dyDescent="0.2">
      <c r="J54" s="160" t="s">
        <v>160</v>
      </c>
      <c r="K54" s="158">
        <v>1.7</v>
      </c>
      <c r="L54" s="158">
        <v>1.7</v>
      </c>
      <c r="M54" s="158">
        <v>1.7</v>
      </c>
      <c r="N54" s="158">
        <v>1.7</v>
      </c>
      <c r="O54" s="158">
        <v>1.7</v>
      </c>
      <c r="P54" s="158">
        <v>1.7</v>
      </c>
      <c r="Q54" s="158">
        <v>1.7</v>
      </c>
      <c r="R54" s="158">
        <v>1.7</v>
      </c>
      <c r="S54" s="158">
        <v>1.7</v>
      </c>
      <c r="T54" s="158">
        <v>1.7</v>
      </c>
      <c r="U54" s="158">
        <v>1.7</v>
      </c>
      <c r="V54" s="158">
        <v>1.7</v>
      </c>
      <c r="W54" s="158">
        <v>1.7</v>
      </c>
      <c r="X54" s="158">
        <v>1.7</v>
      </c>
      <c r="AB54" s="12">
        <f t="shared" si="0"/>
        <v>49</v>
      </c>
      <c r="AC54" s="18" t="s">
        <v>116</v>
      </c>
      <c r="AD54" s="16"/>
      <c r="AE54" s="11"/>
    </row>
    <row r="55" spans="9:31" x14ac:dyDescent="0.2">
      <c r="J55" s="160" t="s">
        <v>88</v>
      </c>
      <c r="K55" s="158" cm="1">
        <f t="array" ref="K55:X55">_xlfn.IFS(selected.location="Canada",forecast_solar.installation.rental_CA,selected.location="Alberta",forecast_solar.installation.rental_AB,selected.location="Ontario",forecast_solar.installation.rental_ON)</f>
        <v>16.090308948275865</v>
      </c>
      <c r="L55" s="158">
        <v>16.090308948275865</v>
      </c>
      <c r="M55" s="158">
        <v>16.090308948275865</v>
      </c>
      <c r="N55" s="158">
        <v>16.090308948275865</v>
      </c>
      <c r="O55" s="158">
        <v>16.090308948275865</v>
      </c>
      <c r="P55" s="158">
        <v>16.090308948275865</v>
      </c>
      <c r="Q55" s="158">
        <v>16.090308948275865</v>
      </c>
      <c r="R55" s="158">
        <v>16.090308948275865</v>
      </c>
      <c r="S55" s="158">
        <v>16.090308948275865</v>
      </c>
      <c r="T55" s="158">
        <v>16.090308948275865</v>
      </c>
      <c r="U55" s="158">
        <v>16.090308948275865</v>
      </c>
      <c r="V55" s="158">
        <v>16.090308948275865</v>
      </c>
      <c r="W55" s="158">
        <v>16.090308948275865</v>
      </c>
      <c r="X55" s="158">
        <v>16.090308948275865</v>
      </c>
      <c r="AB55" s="12">
        <f t="shared" si="0"/>
        <v>50</v>
      </c>
      <c r="AC55" s="18" t="s">
        <v>116</v>
      </c>
      <c r="AD55" s="11"/>
      <c r="AE55" s="11"/>
    </row>
    <row r="56" spans="9:31" x14ac:dyDescent="0.2">
      <c r="J56" s="160" t="s">
        <v>89</v>
      </c>
      <c r="K56" s="273" cm="1">
        <f t="array" ref="K56:X56">0.7*solar_selected.module.capacity*1000/forecast_solar.module.efficiency</f>
        <v>428395.2355290663</v>
      </c>
      <c r="L56" s="273">
        <v>420693.13846318889</v>
      </c>
      <c r="M56" s="273">
        <v>415944.77090820926</v>
      </c>
      <c r="N56" s="273">
        <v>412752.81090348843</v>
      </c>
      <c r="O56" s="273">
        <v>410516.35764008365</v>
      </c>
      <c r="P56" s="273">
        <v>408923.3430941262</v>
      </c>
      <c r="Q56" s="273">
        <v>407791.51938002213</v>
      </c>
      <c r="R56" s="273">
        <v>407005.49894307746</v>
      </c>
      <c r="S56" s="273">
        <v>406487.76647665509</v>
      </c>
      <c r="T56" s="273">
        <v>406183.82907427556</v>
      </c>
      <c r="U56" s="273">
        <v>406053.9755358487</v>
      </c>
      <c r="V56" s="273">
        <v>406068.40880858095</v>
      </c>
      <c r="W56" s="273">
        <v>406204.22293325717</v>
      </c>
      <c r="X56" s="273">
        <v>406443.44645273307</v>
      </c>
      <c r="AB56" s="12">
        <f t="shared" si="0"/>
        <v>51</v>
      </c>
      <c r="AC56" s="18" t="s">
        <v>116</v>
      </c>
      <c r="AD56" s="16"/>
      <c r="AE56" s="11"/>
    </row>
    <row r="57" spans="9:31" x14ac:dyDescent="0.2">
      <c r="J57" s="160" t="s">
        <v>161</v>
      </c>
      <c r="K57" s="158" cm="1">
        <f t="array" ref="K57:X57">_xlfn.IFS(selected.location="Canada",forecast_solar.wages_CA,selected.location="Alberta",forecast_solar.wages_AB,selected.location="Ontario",forecast_solar.wages_ON)</f>
        <v>32.570122209000324</v>
      </c>
      <c r="L57" s="158">
        <v>33.223077378929403</v>
      </c>
      <c r="M57" s="158">
        <v>33.889122780795638</v>
      </c>
      <c r="N57" s="158">
        <v>34.568520843292539</v>
      </c>
      <c r="O57" s="158">
        <v>35.261539256198333</v>
      </c>
      <c r="P57" s="158">
        <v>35.968451075848478</v>
      </c>
      <c r="Q57" s="158">
        <v>36.689534832722636</v>
      </c>
      <c r="R57" s="158">
        <v>37.425074641188552</v>
      </c>
      <c r="S57" s="158">
        <v>38.175360311445978</v>
      </c>
      <c r="T57" s="158">
        <v>38.940687463714873</v>
      </c>
      <c r="U57" s="158">
        <v>39.72135764471281</v>
      </c>
      <c r="V57" s="158">
        <v>40.517678446467436</v>
      </c>
      <c r="W57" s="158">
        <v>41.329963627510892</v>
      </c>
      <c r="X57" s="158">
        <v>42.15853323650385</v>
      </c>
      <c r="AB57" s="12">
        <f t="shared" si="0"/>
        <v>52</v>
      </c>
      <c r="AC57" s="18" t="s">
        <v>116</v>
      </c>
      <c r="AD57" s="11"/>
      <c r="AE57" s="11"/>
    </row>
    <row r="58" spans="9:31" x14ac:dyDescent="0.2">
      <c r="I58" s="19" t="s">
        <v>92</v>
      </c>
      <c r="J58" s="160"/>
      <c r="K58" s="158"/>
      <c r="L58" s="158"/>
      <c r="M58" s="158"/>
      <c r="N58" s="158"/>
      <c r="O58" s="158"/>
      <c r="P58" s="158"/>
      <c r="Q58" s="158"/>
      <c r="R58" s="158"/>
      <c r="S58" s="158"/>
      <c r="T58" s="158"/>
      <c r="U58" s="158"/>
      <c r="V58" s="158"/>
      <c r="W58" s="158"/>
      <c r="X58" s="158"/>
      <c r="AB58" s="12">
        <f t="shared" si="0"/>
        <v>53</v>
      </c>
      <c r="AC58" s="11"/>
      <c r="AD58" s="11"/>
      <c r="AE58" s="11"/>
    </row>
    <row r="59" spans="9:31" x14ac:dyDescent="0.2">
      <c r="J59" s="160" t="s">
        <v>162</v>
      </c>
      <c r="K59" s="158" cm="1">
        <f t="array" ref="K59:X59">_xlfn.IFS(selected.location="Canada",forecast_solar.o_m.costs_CA,selected.location="Alberta",forecast_solar.o_m.costs_AB,selected.location="Ontario",forecast_solar.o_m.costs_ON)</f>
        <v>9.25</v>
      </c>
      <c r="L59" s="158">
        <v>8.9730799098515153</v>
      </c>
      <c r="M59" s="158">
        <v>8.6970254092661872</v>
      </c>
      <c r="N59" s="158">
        <v>8.421800869755403</v>
      </c>
      <c r="O59" s="158">
        <v>8.147372591702382</v>
      </c>
      <c r="P59" s="158">
        <v>7.8737086755726207</v>
      </c>
      <c r="Q59" s="158">
        <v>7.6007789033073063</v>
      </c>
      <c r="R59" s="158">
        <v>7.3285546289727659</v>
      </c>
      <c r="S59" s="158">
        <v>7.0570086778338847</v>
      </c>
      <c r="T59" s="158">
        <v>7.0103211562624033</v>
      </c>
      <c r="U59" s="158">
        <v>6.9637537725501453</v>
      </c>
      <c r="V59" s="158">
        <v>6.9173045572240133</v>
      </c>
      <c r="W59" s="158">
        <v>6.8709715836255318</v>
      </c>
      <c r="X59" s="158">
        <v>6.8247529667537163</v>
      </c>
      <c r="AB59" s="12">
        <f t="shared" si="0"/>
        <v>54</v>
      </c>
      <c r="AC59" s="18" t="s">
        <v>116</v>
      </c>
    </row>
    <row r="60" spans="9:31" x14ac:dyDescent="0.2">
      <c r="J60" s="160" t="s">
        <v>163</v>
      </c>
      <c r="K60" s="158" cm="1">
        <f t="array" ref="K60:X60">_xlfn.IFS(selected.location="Canada",forecast_solar.cleaning.costs_CA,selected.location="Alberta",forecast_solar.cleaning.costs_AB,selected.location="Ontario",forecast_solar.cleaning.costs_ON)</f>
        <v>1.25</v>
      </c>
      <c r="L60" s="158">
        <v>1.25</v>
      </c>
      <c r="M60" s="158">
        <v>1.25</v>
      </c>
      <c r="N60" s="158">
        <v>1.25</v>
      </c>
      <c r="O60" s="158">
        <v>1.25</v>
      </c>
      <c r="P60" s="158">
        <v>1.25</v>
      </c>
      <c r="Q60" s="158">
        <v>1.25</v>
      </c>
      <c r="R60" s="158">
        <v>1.25</v>
      </c>
      <c r="S60" s="158">
        <v>1.25</v>
      </c>
      <c r="T60" s="158">
        <v>1.25</v>
      </c>
      <c r="U60" s="158">
        <v>1.25</v>
      </c>
      <c r="V60" s="158">
        <v>1.25</v>
      </c>
      <c r="W60" s="158">
        <v>1.25</v>
      </c>
      <c r="X60" s="158">
        <v>1.25</v>
      </c>
      <c r="AB60" s="12">
        <f t="shared" si="0"/>
        <v>55</v>
      </c>
      <c r="AC60" s="18" t="s">
        <v>116</v>
      </c>
    </row>
    <row r="61" spans="9:31" x14ac:dyDescent="0.2">
      <c r="J61" s="160" t="s">
        <v>94</v>
      </c>
      <c r="K61" s="158" cm="1">
        <f t="array" ref="K61:X61">_xlfn.IFS(selected.location="Canada",forecast_solar.land.costs_CA,selected.location="Alberta",forecast_solar.land.costs_AB,selected.location="Ontario",forecast_solar.land.costs_ON)</f>
        <v>30</v>
      </c>
      <c r="L61" s="158">
        <v>30</v>
      </c>
      <c r="M61" s="158">
        <v>30</v>
      </c>
      <c r="N61" s="158">
        <v>30</v>
      </c>
      <c r="O61" s="158">
        <v>30</v>
      </c>
      <c r="P61" s="158">
        <v>30</v>
      </c>
      <c r="Q61" s="158">
        <v>30</v>
      </c>
      <c r="R61" s="158">
        <v>30</v>
      </c>
      <c r="S61" s="158">
        <v>30</v>
      </c>
      <c r="T61" s="158">
        <v>30</v>
      </c>
      <c r="U61" s="158">
        <v>30</v>
      </c>
      <c r="V61" s="158">
        <v>30</v>
      </c>
      <c r="W61" s="158">
        <v>30</v>
      </c>
      <c r="X61" s="158">
        <v>30</v>
      </c>
      <c r="AB61" s="12">
        <f t="shared" si="0"/>
        <v>56</v>
      </c>
      <c r="AC61" s="18" t="s">
        <v>116</v>
      </c>
    </row>
    <row r="62" spans="9:31" x14ac:dyDescent="0.2">
      <c r="J62" s="160" t="s">
        <v>95</v>
      </c>
      <c r="K62" s="158" cm="1">
        <f t="array" ref="K62:X62">forecast_solar.admin.costs_CA</f>
        <v>1.27</v>
      </c>
      <c r="L62" s="158">
        <v>1.27</v>
      </c>
      <c r="M62" s="158">
        <v>1.27</v>
      </c>
      <c r="N62" s="158">
        <v>1.27</v>
      </c>
      <c r="O62" s="158">
        <v>1.27</v>
      </c>
      <c r="P62" s="158">
        <v>1.27</v>
      </c>
      <c r="Q62" s="158">
        <v>1.27</v>
      </c>
      <c r="R62" s="158">
        <v>1.27</v>
      </c>
      <c r="S62" s="158">
        <v>1.27</v>
      </c>
      <c r="T62" s="158">
        <v>1.27</v>
      </c>
      <c r="U62" s="158">
        <v>1.27</v>
      </c>
      <c r="V62" s="158">
        <v>1.27</v>
      </c>
      <c r="W62" s="158">
        <v>1.27</v>
      </c>
      <c r="X62" s="158">
        <v>1.27</v>
      </c>
      <c r="AB62" s="12">
        <f t="shared" si="0"/>
        <v>57</v>
      </c>
      <c r="AC62" s="18" t="s">
        <v>116</v>
      </c>
    </row>
    <row r="63" spans="9:31" x14ac:dyDescent="0.2">
      <c r="K63" s="23"/>
      <c r="L63" s="23"/>
      <c r="M63" s="23"/>
      <c r="N63" s="23"/>
      <c r="O63" s="23"/>
      <c r="P63" s="23"/>
      <c r="Q63" s="23"/>
      <c r="R63" s="23"/>
      <c r="S63" s="23"/>
      <c r="T63" s="23"/>
      <c r="U63" s="23"/>
      <c r="V63" s="23"/>
      <c r="W63" s="23"/>
      <c r="X63" s="23"/>
      <c r="AB63" s="12">
        <f t="shared" si="0"/>
        <v>58</v>
      </c>
      <c r="AC63" s="11"/>
      <c r="AD63" s="11"/>
      <c r="AE63" s="11"/>
    </row>
    <row r="64" spans="9:31" x14ac:dyDescent="0.2">
      <c r="I64" s="19" t="s">
        <v>100</v>
      </c>
      <c r="AB64" s="12">
        <f t="shared" si="0"/>
        <v>59</v>
      </c>
      <c r="AC64" s="18"/>
    </row>
    <row r="65" spans="10:29" x14ac:dyDescent="0.2">
      <c r="J65" s="160" t="s">
        <v>101</v>
      </c>
      <c r="K65" s="204">
        <f t="shared" ref="K65:X65" si="3">((project.interest_rate*(1+project.interest_rate)^project.debt_period)/(((1+project.interest_rate)^project.debt_period)-1))</f>
        <v>0.17913501805901069</v>
      </c>
      <c r="L65" s="204">
        <f t="shared" si="3"/>
        <v>0.17913501805901069</v>
      </c>
      <c r="M65" s="204">
        <f t="shared" si="3"/>
        <v>0.17913501805901069</v>
      </c>
      <c r="N65" s="204">
        <f t="shared" si="3"/>
        <v>0.17913501805901069</v>
      </c>
      <c r="O65" s="204">
        <f t="shared" si="3"/>
        <v>0.17913501805901069</v>
      </c>
      <c r="P65" s="204">
        <f t="shared" si="3"/>
        <v>0.17913501805901069</v>
      </c>
      <c r="Q65" s="204">
        <f t="shared" si="3"/>
        <v>0.17913501805901069</v>
      </c>
      <c r="R65" s="204">
        <f t="shared" si="3"/>
        <v>0.17913501805901069</v>
      </c>
      <c r="S65" s="204">
        <f t="shared" si="3"/>
        <v>0.17913501805901069</v>
      </c>
      <c r="T65" s="204">
        <f t="shared" si="3"/>
        <v>0.17913501805901069</v>
      </c>
      <c r="U65" s="204">
        <f t="shared" si="3"/>
        <v>0.17913501805901069</v>
      </c>
      <c r="V65" s="204">
        <f t="shared" si="3"/>
        <v>0.17913501805901069</v>
      </c>
      <c r="W65" s="204">
        <f t="shared" si="3"/>
        <v>0.17913501805901069</v>
      </c>
      <c r="X65" s="204">
        <f t="shared" si="3"/>
        <v>0.17913501805901069</v>
      </c>
      <c r="AB65" s="12">
        <f t="shared" si="0"/>
        <v>60</v>
      </c>
      <c r="AC65" s="18" t="s">
        <v>102</v>
      </c>
    </row>
    <row r="66" spans="10:29" x14ac:dyDescent="0.2">
      <c r="J66" s="160" t="s">
        <v>103</v>
      </c>
      <c r="K66" s="159">
        <f>NPV(jurisdiction.discount_rate,_xlfn.MAKEARRAY(1,project.debt_period,_xlfn.LAMBDA(_xlpm.r,_xlpm.c,K$65*K$7*(1-project.downpayment))))+NPV(jurisdiction.discount_rate,_xlfn.MAKEARRAY(1,K13,_xlfn.LAMBDA(_xlpm.r,_xlpm.c,K$8)))+K$7*project.downpayment</f>
        <v>2953.1141050419051</v>
      </c>
      <c r="L66" s="159">
        <f t="shared" ref="L66:X66" si="4">NPV(jurisdiction.discount_rate,_xlfn.MAKEARRAY(1,project.debt_period,_xlfn.LAMBDA(_xlpm.r,_xlpm.c,L$65*L$7*(1-project.downpayment))))+NPV(jurisdiction.discount_rate,_xlfn.MAKEARRAY(1,L13,_xlfn.LAMBDA(_xlpm.r,_xlpm.c,L$8)))+L$7*project.downpayment</f>
        <v>2829.3933020624136</v>
      </c>
      <c r="M66" s="159">
        <f t="shared" si="4"/>
        <v>2766.580295686535</v>
      </c>
      <c r="N66" s="159">
        <f t="shared" si="4"/>
        <v>2709.1265842677981</v>
      </c>
      <c r="O66" s="159">
        <f t="shared" si="4"/>
        <v>2685.5378431503314</v>
      </c>
      <c r="P66" s="159">
        <f t="shared" si="4"/>
        <v>2670.325013234823</v>
      </c>
      <c r="Q66" s="159">
        <f t="shared" si="4"/>
        <v>2660.7247790335991</v>
      </c>
      <c r="R66" s="159">
        <f t="shared" si="4"/>
        <v>2637.2609369474221</v>
      </c>
      <c r="S66" s="159">
        <f t="shared" si="4"/>
        <v>2635.0998809077787</v>
      </c>
      <c r="T66" s="159">
        <f t="shared" si="4"/>
        <v>2642.2068021674727</v>
      </c>
      <c r="U66" s="159">
        <f t="shared" si="4"/>
        <v>2651.2168130785367</v>
      </c>
      <c r="V66" s="159">
        <f t="shared" si="4"/>
        <v>2645.3401005155556</v>
      </c>
      <c r="W66" s="159">
        <f t="shared" si="4"/>
        <v>2657.5598463387992</v>
      </c>
      <c r="X66" s="159">
        <f t="shared" si="4"/>
        <v>2670.8022579407675</v>
      </c>
      <c r="Y66" s="159"/>
      <c r="AB66" s="12">
        <f t="shared" si="0"/>
        <v>61</v>
      </c>
      <c r="AC66" s="18" t="s">
        <v>104</v>
      </c>
    </row>
    <row r="67" spans="10:29" x14ac:dyDescent="0.2">
      <c r="J67" s="160" t="s">
        <v>105</v>
      </c>
      <c r="K67" s="273" cm="1">
        <f t="array" ref="K67">NPV(jurisdiction.discount_rate,_xlfn.MAKEARRAY(1,K$13,_xlfn.LAMBDA(_xlpm.r,_xlpm.c,(0.995^(_xlpm.c-1)))))*K$14*8760</f>
        <v>33498.930396646465</v>
      </c>
      <c r="L67" s="273" cm="1">
        <f t="array" ref="L67">NPV(jurisdiction.discount_rate,_xlfn.MAKEARRAY(1,L$13,_xlfn.LAMBDA(_xlpm.r,_xlpm.c,(0.995^(_xlpm.c-1)))))*L$14*8760</f>
        <v>34061.588101614798</v>
      </c>
      <c r="M67" s="273" cm="1">
        <f t="array" ref="M67">NPV(jurisdiction.discount_rate,_xlfn.MAKEARRAY(1,M$13,_xlfn.LAMBDA(_xlpm.r,_xlpm.c,(0.995^(_xlpm.c-1)))))*M$14*8760</f>
        <v>34605.126370006525</v>
      </c>
      <c r="N67" s="273" cm="1">
        <f t="array" ref="N67">NPV(jurisdiction.discount_rate,_xlfn.MAKEARRAY(1,N$13,_xlfn.LAMBDA(_xlpm.r,_xlpm.c,(0.995^(_xlpm.c-1)))))*N$14*8760</f>
        <v>34605.126370006525</v>
      </c>
      <c r="O67" s="273" cm="1">
        <f t="array" ref="O67">NPV(jurisdiction.discount_rate,_xlfn.MAKEARRAY(1,O$13,_xlfn.LAMBDA(_xlpm.r,_xlpm.c,(0.995^(_xlpm.c-1)))))*O$14*8760</f>
        <v>35130.194891414074</v>
      </c>
      <c r="P67" s="273" cm="1">
        <f t="array" ref="P67">NPV(jurisdiction.discount_rate,_xlfn.MAKEARRAY(1,P$13,_xlfn.LAMBDA(_xlpm.r,_xlpm.c,(0.995^(_xlpm.c-1)))))*P$14*8760</f>
        <v>35637.421278599024</v>
      </c>
      <c r="Q67" s="273" cm="1">
        <f t="array" ref="Q67">NPV(jurisdiction.discount_rate,_xlfn.MAKEARRAY(1,Q$13,_xlfn.LAMBDA(_xlpm.r,_xlpm.c,(0.995^(_xlpm.c-1)))))*Q$14*8760</f>
        <v>36127.411817675762</v>
      </c>
      <c r="R67" s="273" cm="1">
        <f t="array" ref="R67">NPV(jurisdiction.discount_rate,_xlfn.MAKEARRAY(1,R$13,_xlfn.LAMBDA(_xlpm.r,_xlpm.c,(0.995^(_xlpm.c-1)))))*R$14*8760</f>
        <v>36127.411817675762</v>
      </c>
      <c r="S67" s="273" cm="1">
        <f t="array" ref="S67">NPV(jurisdiction.discount_rate,_xlfn.MAKEARRAY(1,S$13,_xlfn.LAMBDA(_xlpm.r,_xlpm.c,(0.995^(_xlpm.c-1)))))*S$14*8760</f>
        <v>36600.752192803287</v>
      </c>
      <c r="T67" s="273" cm="1">
        <f t="array" ref="T67">NPV(jurisdiction.discount_rate,_xlfn.MAKEARRAY(1,T$13,_xlfn.LAMBDA(_xlpm.r,_xlpm.c,(0.995^(_xlpm.c-1)))))*T$14*8760</f>
        <v>37058.008186251718</v>
      </c>
      <c r="U67" s="273" cm="1">
        <f t="array" ref="U67">NPV(jurisdiction.discount_rate,_xlfn.MAKEARRAY(1,U$13,_xlfn.LAMBDA(_xlpm.r,_xlpm.c,(0.995^(_xlpm.c-1)))))*U$14*8760</f>
        <v>37499.72635468006</v>
      </c>
      <c r="V67" s="273" cm="1">
        <f t="array" ref="V67">NPV(jurisdiction.discount_rate,_xlfn.MAKEARRAY(1,V$13,_xlfn.LAMBDA(_xlpm.r,_xlpm.c,(0.995^(_xlpm.c-1)))))*V$14*8760</f>
        <v>37499.72635468006</v>
      </c>
      <c r="W67" s="273" cm="1">
        <f t="array" ref="W67">NPV(jurisdiction.discount_rate,_xlfn.MAKEARRAY(1,W$13,_xlfn.LAMBDA(_xlpm.r,_xlpm.c,(0.995^(_xlpm.c-1)))))*W$14*8760</f>
        <v>37926.434682433654</v>
      </c>
      <c r="X67" s="273" cm="1">
        <f t="array" ref="X67">NPV(jurisdiction.discount_rate,_xlfn.MAKEARRAY(1,X$13,_xlfn.LAMBDA(_xlpm.r,_xlpm.c,(0.995^(_xlpm.c-1)))))*X$14*8760</f>
        <v>38338.643212642215</v>
      </c>
      <c r="AB67" s="12">
        <f t="shared" si="0"/>
        <v>62</v>
      </c>
      <c r="AC67" s="18" t="s">
        <v>106</v>
      </c>
    </row>
    <row r="68" spans="10:29" x14ac:dyDescent="0.2">
      <c r="J68" s="160" t="s">
        <v>107</v>
      </c>
      <c r="K68" s="287">
        <f>K66/K67</f>
        <v>8.8155474520390589E-2</v>
      </c>
      <c r="L68" s="287">
        <f t="shared" ref="L68:X68" si="5">L66/L67</f>
        <v>8.3066981305204526E-2</v>
      </c>
      <c r="M68" s="287">
        <f t="shared" si="5"/>
        <v>7.9947123039100565E-2</v>
      </c>
      <c r="N68" s="287">
        <f t="shared" si="5"/>
        <v>7.8286857135013765E-2</v>
      </c>
      <c r="O68" s="287">
        <f t="shared" si="5"/>
        <v>7.644528735041789E-2</v>
      </c>
      <c r="P68" s="287">
        <f t="shared" si="5"/>
        <v>7.4930365818539346E-2</v>
      </c>
      <c r="Q68" s="287">
        <f t="shared" si="5"/>
        <v>7.3648364086015383E-2</v>
      </c>
      <c r="R68" s="287">
        <f t="shared" si="5"/>
        <v>7.2998889326943456E-2</v>
      </c>
      <c r="S68" s="287">
        <f t="shared" si="5"/>
        <v>7.199578486875774E-2</v>
      </c>
      <c r="T68" s="287">
        <f t="shared" si="5"/>
        <v>7.1299212545042137E-2</v>
      </c>
      <c r="U68" s="287">
        <f t="shared" si="5"/>
        <v>7.0699630925377621E-2</v>
      </c>
      <c r="V68" s="287">
        <f t="shared" si="5"/>
        <v>7.0542917446793862E-2</v>
      </c>
      <c r="W68" s="287">
        <f t="shared" si="5"/>
        <v>7.0071438789096052E-2</v>
      </c>
      <c r="X68" s="287">
        <f t="shared" si="5"/>
        <v>6.9663452697774839E-2</v>
      </c>
      <c r="AB68" s="12">
        <f t="shared" si="0"/>
        <v>63</v>
      </c>
      <c r="AC68" s="18" t="s">
        <v>108</v>
      </c>
    </row>
    <row r="69" spans="10:29" x14ac:dyDescent="0.2">
      <c r="J69" s="160"/>
      <c r="K69" s="35"/>
      <c r="L69" s="35"/>
      <c r="M69" s="35"/>
      <c r="N69" s="35"/>
      <c r="O69" s="35"/>
      <c r="P69" s="35"/>
      <c r="Q69" s="35"/>
      <c r="R69" s="35"/>
      <c r="S69" s="35"/>
      <c r="T69" s="35"/>
      <c r="U69" s="35"/>
      <c r="V69" s="35"/>
      <c r="W69" s="35"/>
      <c r="X69" s="35"/>
      <c r="AB69" s="12"/>
      <c r="AC69" s="18"/>
    </row>
    <row r="70" spans="10:29" x14ac:dyDescent="0.2">
      <c r="J70" s="160"/>
      <c r="K70" s="35"/>
      <c r="L70" s="35"/>
      <c r="M70" s="35"/>
      <c r="N70" s="35"/>
      <c r="O70" s="35"/>
      <c r="P70" s="35"/>
      <c r="Q70" s="35"/>
      <c r="R70" s="35"/>
      <c r="S70" s="35"/>
      <c r="T70" s="35"/>
      <c r="U70" s="35"/>
      <c r="V70" s="35"/>
      <c r="W70" s="35"/>
      <c r="X70" s="35"/>
    </row>
    <row r="71" spans="10:29" x14ac:dyDescent="0.2">
      <c r="J71" s="160"/>
      <c r="K71" s="278"/>
      <c r="L71" s="278"/>
      <c r="M71" s="278"/>
      <c r="N71" s="278"/>
      <c r="O71" s="278"/>
      <c r="P71" s="278"/>
      <c r="Q71" s="278"/>
      <c r="R71" s="278"/>
      <c r="S71" s="278"/>
      <c r="T71" s="278"/>
      <c r="U71" s="278"/>
      <c r="V71" s="278"/>
      <c r="W71" s="278"/>
      <c r="X71" s="278"/>
    </row>
    <row r="72" spans="10:29" x14ac:dyDescent="0.2">
      <c r="J72" s="160"/>
    </row>
    <row r="73" spans="10:29" x14ac:dyDescent="0.2">
      <c r="J73" s="160"/>
    </row>
    <row r="74" spans="10:29" x14ac:dyDescent="0.2">
      <c r="J74" s="160"/>
    </row>
    <row r="75" spans="10:29" x14ac:dyDescent="0.2">
      <c r="J75" s="160"/>
    </row>
    <row r="76" spans="10:29" x14ac:dyDescent="0.2">
      <c r="J76" s="160"/>
    </row>
    <row r="78" spans="10:29" x14ac:dyDescent="0.2">
      <c r="K78" s="277"/>
    </row>
    <row r="79" spans="10:29" x14ac:dyDescent="0.2">
      <c r="K79" s="277"/>
    </row>
    <row r="80" spans="10:29" x14ac:dyDescent="0.2">
      <c r="K80" s="277"/>
    </row>
  </sheetData>
  <mergeCells count="1">
    <mergeCell ref="B3:E3"/>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59979-F5DD-4BAA-A17D-7BF22AE5C2D2}">
  <dimension ref="B1:AH128"/>
  <sheetViews>
    <sheetView workbookViewId="0">
      <selection activeCell="H83" sqref="H83"/>
    </sheetView>
  </sheetViews>
  <sheetFormatPr baseColWidth="10" defaultColWidth="8.83203125" defaultRowHeight="16" x14ac:dyDescent="0.2"/>
  <cols>
    <col min="1" max="1" width="2.6640625" customWidth="1"/>
    <col min="2" max="2" width="2.6640625" style="3" customWidth="1"/>
    <col min="3" max="3" width="2.6640625" style="4" customWidth="1"/>
    <col min="4" max="4" width="2.6640625" style="2" customWidth="1"/>
    <col min="5" max="5" width="20.6640625" customWidth="1"/>
    <col min="6" max="6" width="2.6640625" customWidth="1"/>
    <col min="7" max="9" width="2.6640625" style="19" customWidth="1"/>
    <col min="10" max="10" width="36.83203125" style="211" customWidth="1"/>
    <col min="11" max="11" width="12.6640625" bestFit="1" customWidth="1"/>
    <col min="12" max="24" width="10.5" bestFit="1" customWidth="1"/>
    <col min="25" max="27" width="2.6640625" customWidth="1"/>
    <col min="28" max="28" width="3.5" bestFit="1" customWidth="1"/>
  </cols>
  <sheetData>
    <row r="1" spans="2:30" ht="21" x14ac:dyDescent="0.25">
      <c r="B1" s="5" t="str">
        <f>"Solar + Energy Storage Cost Forecast for " &amp;selected.location</f>
        <v>Solar + Energy Storage Cost Forecast for Ontario</v>
      </c>
    </row>
    <row r="2" spans="2:30" ht="19" x14ac:dyDescent="0.25">
      <c r="B2" s="1" t="str">
        <f>_Cover!B14</f>
        <v>Renewable Cost Forecast</v>
      </c>
    </row>
    <row r="3" spans="2:30" ht="15" x14ac:dyDescent="0.2">
      <c r="B3" s="331" t="str">
        <f ca="1">HYPERLINK("#"&amp;CELL("address", _Contents!B3 ), "Go to Table of Contents")</f>
        <v>Go to Table of Contents</v>
      </c>
      <c r="C3" s="331"/>
      <c r="D3" s="331"/>
      <c r="E3" s="331"/>
    </row>
    <row r="4" spans="2:30" x14ac:dyDescent="0.2">
      <c r="K4" s="22">
        <v>2022</v>
      </c>
      <c r="L4" s="22">
        <v>2023</v>
      </c>
      <c r="M4" s="22">
        <v>2024</v>
      </c>
      <c r="N4" s="22">
        <v>2025</v>
      </c>
      <c r="O4" s="22">
        <v>2026</v>
      </c>
      <c r="P4" s="22">
        <v>2027</v>
      </c>
      <c r="Q4" s="22">
        <v>2028</v>
      </c>
      <c r="R4" s="22">
        <v>2029</v>
      </c>
      <c r="S4" s="22">
        <v>2030</v>
      </c>
      <c r="T4" s="22">
        <v>2031</v>
      </c>
      <c r="U4" s="22">
        <v>2032</v>
      </c>
      <c r="V4" s="22">
        <v>2033</v>
      </c>
      <c r="W4" s="22">
        <v>2034</v>
      </c>
      <c r="X4" s="22">
        <v>2035</v>
      </c>
      <c r="AC4" s="10" t="s">
        <v>27</v>
      </c>
    </row>
    <row r="6" spans="2:30" x14ac:dyDescent="0.2">
      <c r="G6" s="156" t="str">
        <f>"Results - "&amp;selected.location&amp;" Real 2022$CA"</f>
        <v>Results - Ontario Real 2022$CA</v>
      </c>
    </row>
    <row r="7" spans="2:30" x14ac:dyDescent="0.2">
      <c r="G7" s="157"/>
      <c r="J7" s="14" t="s">
        <v>164</v>
      </c>
      <c r="K7" s="153" cm="1">
        <f t="array" ref="K7:X7">K31:X31*1000/_xlfn.ANCHORARRAY(K11)</f>
        <v>5547.4278129470131</v>
      </c>
      <c r="L7" s="153">
        <v>5131.8996615358155</v>
      </c>
      <c r="M7" s="153">
        <v>4841.253984747259</v>
      </c>
      <c r="N7" s="153">
        <v>4613.3145840793959</v>
      </c>
      <c r="O7" s="153">
        <v>4424.6716615827727</v>
      </c>
      <c r="P7" s="153">
        <v>4284.139591655211</v>
      </c>
      <c r="Q7" s="153">
        <v>4162.8560756548613</v>
      </c>
      <c r="R7" s="153">
        <v>4056.4547530205982</v>
      </c>
      <c r="S7" s="153">
        <v>3961.9383575832203</v>
      </c>
      <c r="T7" s="153">
        <v>3877.1487203043462</v>
      </c>
      <c r="U7" s="153">
        <v>3800.474351167943</v>
      </c>
      <c r="V7" s="153">
        <v>3730.6771333104139</v>
      </c>
      <c r="W7" s="153">
        <v>3666.7836949244956</v>
      </c>
      <c r="X7" s="153">
        <v>3588.4988447812225</v>
      </c>
      <c r="AB7" s="12">
        <v>1</v>
      </c>
      <c r="AC7" s="18" t="s">
        <v>29</v>
      </c>
    </row>
    <row r="8" spans="2:30" x14ac:dyDescent="0.2">
      <c r="G8" s="157"/>
      <c r="J8" s="14" t="s">
        <v>165</v>
      </c>
      <c r="K8" s="153" cm="1">
        <f t="array" ref="K8:X8">K32:X32*1000/_xlfn.ANCHORARRAY(K11)</f>
        <v>66.62233928571429</v>
      </c>
      <c r="L8" s="153">
        <v>65.535061899919228</v>
      </c>
      <c r="M8" s="153">
        <v>64.823396511094529</v>
      </c>
      <c r="N8" s="153">
        <v>64.26430073263451</v>
      </c>
      <c r="O8" s="153">
        <v>63.787854400584209</v>
      </c>
      <c r="P8" s="153">
        <v>63.362897395132713</v>
      </c>
      <c r="Q8" s="153">
        <v>62.972795597543858</v>
      </c>
      <c r="R8" s="153">
        <v>62.6076099878278</v>
      </c>
      <c r="S8" s="153">
        <v>62.260921550173826</v>
      </c>
      <c r="T8" s="153">
        <v>62.23934626146238</v>
      </c>
      <c r="U8" s="153">
        <v>62.23059678013329</v>
      </c>
      <c r="V8" s="153">
        <v>62.232373353623224</v>
      </c>
      <c r="W8" s="153">
        <v>62.242929372394947</v>
      </c>
      <c r="X8" s="153">
        <v>62.26090703255398</v>
      </c>
      <c r="AB8" s="12">
        <v>2</v>
      </c>
      <c r="AC8" s="18" t="s">
        <v>31</v>
      </c>
    </row>
    <row r="9" spans="2:30" x14ac:dyDescent="0.2">
      <c r="G9" s="157"/>
      <c r="J9" s="14" t="s">
        <v>111</v>
      </c>
      <c r="K9" s="294" cm="1">
        <f t="array" ref="K9:X9">K125:X125</f>
        <v>0.2294753143861</v>
      </c>
      <c r="L9" s="294">
        <v>0.21158089721358725</v>
      </c>
      <c r="M9" s="294">
        <v>0.19868554787216697</v>
      </c>
      <c r="N9" s="294">
        <v>0.19056438635839243</v>
      </c>
      <c r="O9" s="294">
        <v>0.18172394024218502</v>
      </c>
      <c r="P9" s="294">
        <v>0.17476977645964301</v>
      </c>
      <c r="Q9" s="294">
        <v>0.16869999555728465</v>
      </c>
      <c r="R9" s="294">
        <v>0.16488536793097391</v>
      </c>
      <c r="S9" s="294">
        <v>0.15994619862231207</v>
      </c>
      <c r="T9" s="294">
        <v>0.15568736898960342</v>
      </c>
      <c r="U9" s="294">
        <v>0.151837338658524</v>
      </c>
      <c r="V9" s="294">
        <v>0.14951868202189131</v>
      </c>
      <c r="W9" s="294">
        <v>0.14623092919482641</v>
      </c>
      <c r="X9" s="294">
        <v>0.1426537087294871</v>
      </c>
      <c r="AB9" s="12">
        <v>3</v>
      </c>
      <c r="AC9" s="18" t="s">
        <v>33</v>
      </c>
    </row>
    <row r="10" spans="2:30" x14ac:dyDescent="0.2">
      <c r="G10" s="156" t="str">
        <f>"System Specifications- "&amp;selected.location</f>
        <v>System Specifications- Ontario</v>
      </c>
      <c r="AB10" s="12">
        <v>4</v>
      </c>
      <c r="AC10" s="18"/>
      <c r="AD10" s="18"/>
    </row>
    <row r="11" spans="2:30" x14ac:dyDescent="0.2">
      <c r="G11" s="156"/>
      <c r="I11" s="19" t="s">
        <v>166</v>
      </c>
      <c r="K11" s="24" cm="1">
        <f t="array" ref="K11:X11">(_xlfn.ANCHORARRAY(K15))</f>
        <v>100</v>
      </c>
      <c r="L11" s="24">
        <v>100</v>
      </c>
      <c r="M11" s="24">
        <v>100</v>
      </c>
      <c r="N11" s="24">
        <v>100</v>
      </c>
      <c r="O11" s="24">
        <v>100</v>
      </c>
      <c r="P11" s="24">
        <v>100</v>
      </c>
      <c r="Q11" s="24">
        <v>100</v>
      </c>
      <c r="R11" s="24">
        <v>100</v>
      </c>
      <c r="S11" s="24">
        <v>100</v>
      </c>
      <c r="T11" s="24">
        <v>100</v>
      </c>
      <c r="U11" s="24">
        <v>100</v>
      </c>
      <c r="V11" s="24">
        <v>100</v>
      </c>
      <c r="W11" s="24">
        <v>100</v>
      </c>
      <c r="X11" s="24">
        <v>100</v>
      </c>
      <c r="AB11" s="12">
        <v>5</v>
      </c>
      <c r="AC11" s="18" t="s">
        <v>36</v>
      </c>
      <c r="AD11" s="18"/>
    </row>
    <row r="12" spans="2:30" x14ac:dyDescent="0.2">
      <c r="G12" s="156"/>
      <c r="AB12" s="12">
        <v>6</v>
      </c>
      <c r="AC12" s="18"/>
      <c r="AD12" s="18"/>
    </row>
    <row r="13" spans="2:30" x14ac:dyDescent="0.2">
      <c r="G13" s="156"/>
      <c r="I13" s="19" t="s">
        <v>167</v>
      </c>
      <c r="AB13" s="12">
        <v>7</v>
      </c>
      <c r="AC13" s="18"/>
      <c r="AD13" s="18"/>
    </row>
    <row r="14" spans="2:30" x14ac:dyDescent="0.2">
      <c r="G14" s="157"/>
      <c r="J14" s="161" t="s">
        <v>112</v>
      </c>
      <c r="K14" s="24" cm="1">
        <f t="array" ref="K14:X14">solar_selected.module.capacity</f>
        <v>133.57142857142858</v>
      </c>
      <c r="L14" s="24">
        <v>134.14285714285717</v>
      </c>
      <c r="M14" s="24">
        <v>134.71428571428575</v>
      </c>
      <c r="N14" s="24">
        <v>135.28571428571433</v>
      </c>
      <c r="O14" s="24">
        <v>135.85714285714289</v>
      </c>
      <c r="P14" s="24">
        <v>136.42857142857147</v>
      </c>
      <c r="Q14" s="24">
        <v>137.00000000000006</v>
      </c>
      <c r="R14" s="24">
        <v>137.57142857142864</v>
      </c>
      <c r="S14" s="24">
        <v>138.14285714285722</v>
      </c>
      <c r="T14" s="24">
        <v>138.71428571428578</v>
      </c>
      <c r="U14" s="24">
        <v>139.28571428571436</v>
      </c>
      <c r="V14" s="24">
        <v>139.85714285714295</v>
      </c>
      <c r="W14" s="24">
        <v>140.42857142857153</v>
      </c>
      <c r="X14" s="24">
        <v>141</v>
      </c>
      <c r="AB14" s="12">
        <v>8</v>
      </c>
      <c r="AC14" s="18" t="str">
        <f>"Solar Module Capacity (MWdc) = Solar Inverter Capacity ("&amp;AB15&amp;") x Inverter Sizing Ratio"</f>
        <v>Solar Module Capacity (MWdc) = Solar Inverter Capacity (9) x Inverter Sizing Ratio</v>
      </c>
      <c r="AD14" s="18"/>
    </row>
    <row r="15" spans="2:30" x14ac:dyDescent="0.2">
      <c r="G15" s="157"/>
      <c r="J15" s="212" t="s">
        <v>113</v>
      </c>
      <c r="K15" s="24" cm="1">
        <f t="array" ref="K15:X15">solar_selected.inverter.capacity</f>
        <v>100</v>
      </c>
      <c r="L15" s="24">
        <v>100</v>
      </c>
      <c r="M15" s="24">
        <v>100</v>
      </c>
      <c r="N15" s="24">
        <v>100</v>
      </c>
      <c r="O15" s="24">
        <v>100</v>
      </c>
      <c r="P15" s="24">
        <v>100</v>
      </c>
      <c r="Q15" s="24">
        <v>100</v>
      </c>
      <c r="R15" s="24">
        <v>100</v>
      </c>
      <c r="S15" s="24">
        <v>100</v>
      </c>
      <c r="T15" s="24">
        <v>100</v>
      </c>
      <c r="U15" s="24">
        <v>100</v>
      </c>
      <c r="V15" s="24">
        <v>100</v>
      </c>
      <c r="W15" s="24">
        <v>100</v>
      </c>
      <c r="X15" s="24">
        <v>100</v>
      </c>
      <c r="AB15" s="12">
        <v>9</v>
      </c>
      <c r="AC15" s="18" t="s">
        <v>114</v>
      </c>
      <c r="AD15" s="18"/>
    </row>
    <row r="16" spans="2:30" x14ac:dyDescent="0.2">
      <c r="G16" s="157"/>
      <c r="J16" s="212" t="s">
        <v>115</v>
      </c>
      <c r="K16" s="24" cm="1">
        <f t="array" ref="K16:X16">solar.system_project_life</f>
        <v>32</v>
      </c>
      <c r="L16" s="23">
        <v>33</v>
      </c>
      <c r="M16" s="23">
        <v>34</v>
      </c>
      <c r="N16" s="23">
        <v>34</v>
      </c>
      <c r="O16" s="23">
        <v>35</v>
      </c>
      <c r="P16" s="23">
        <v>36</v>
      </c>
      <c r="Q16" s="23">
        <v>37</v>
      </c>
      <c r="R16" s="23">
        <v>37</v>
      </c>
      <c r="S16" s="23">
        <v>38</v>
      </c>
      <c r="T16" s="23">
        <v>39</v>
      </c>
      <c r="U16" s="23">
        <v>40</v>
      </c>
      <c r="V16" s="23">
        <v>40</v>
      </c>
      <c r="W16" s="23">
        <v>41</v>
      </c>
      <c r="X16" s="23">
        <v>42</v>
      </c>
      <c r="AB16" s="12">
        <v>10</v>
      </c>
      <c r="AC16" s="18" t="s">
        <v>116</v>
      </c>
      <c r="AD16" s="18"/>
    </row>
    <row r="17" spans="7:30" x14ac:dyDescent="0.2">
      <c r="G17" s="157"/>
      <c r="J17" s="212" t="s">
        <v>44</v>
      </c>
      <c r="K17" s="42" cm="1">
        <f t="array" ref="K17:X17">solar_selected.capacity.factor</f>
        <v>0.2</v>
      </c>
      <c r="L17" s="42">
        <v>0.2</v>
      </c>
      <c r="M17" s="42">
        <v>0.2</v>
      </c>
      <c r="N17" s="42">
        <v>0.2</v>
      </c>
      <c r="O17" s="42">
        <v>0.2</v>
      </c>
      <c r="P17" s="42">
        <v>0.2</v>
      </c>
      <c r="Q17" s="42">
        <v>0.2</v>
      </c>
      <c r="R17" s="42">
        <v>0.2</v>
      </c>
      <c r="S17" s="42">
        <v>0.2</v>
      </c>
      <c r="T17" s="42">
        <v>0.2</v>
      </c>
      <c r="U17" s="42">
        <v>0.2</v>
      </c>
      <c r="V17" s="42">
        <v>0.2</v>
      </c>
      <c r="W17" s="42">
        <v>0.2</v>
      </c>
      <c r="X17" s="42">
        <v>0.2</v>
      </c>
      <c r="AB17" s="12">
        <v>11</v>
      </c>
      <c r="AC17" s="18" t="s">
        <v>70</v>
      </c>
      <c r="AD17" s="18"/>
    </row>
    <row r="18" spans="7:30" x14ac:dyDescent="0.2">
      <c r="G18" s="157"/>
      <c r="J18" s="212" t="s">
        <v>168</v>
      </c>
      <c r="K18" s="42" cm="1">
        <f t="array" ref="K18:X18">K115:X115</f>
        <v>0.19139577042423991</v>
      </c>
      <c r="L18" s="42">
        <v>0.19175604731714924</v>
      </c>
      <c r="M18" s="42">
        <v>0.19211326777830531</v>
      </c>
      <c r="N18" s="42">
        <v>0.19246747053757199</v>
      </c>
      <c r="O18" s="42">
        <v>0.19281869367320659</v>
      </c>
      <c r="P18" s="42">
        <v>0.193166974625506</v>
      </c>
      <c r="Q18" s="42">
        <v>0.19351235021011159</v>
      </c>
      <c r="R18" s="42">
        <v>0.19385485663098215</v>
      </c>
      <c r="S18" s="42">
        <v>0.19419452949304508</v>
      </c>
      <c r="T18" s="42">
        <v>0.19453140381453482</v>
      </c>
      <c r="U18" s="42">
        <v>0.19486551403902777</v>
      </c>
      <c r="V18" s="42">
        <v>0.19519689404718174</v>
      </c>
      <c r="W18" s="42">
        <v>0.19552557716818886</v>
      </c>
      <c r="X18" s="42">
        <v>0.19585159619095083</v>
      </c>
      <c r="AB18" s="12">
        <v>12</v>
      </c>
      <c r="AC18" s="18" t="s">
        <v>169</v>
      </c>
      <c r="AD18" s="18"/>
    </row>
    <row r="19" spans="7:30" x14ac:dyDescent="0.2">
      <c r="G19" s="157"/>
      <c r="I19" s="19" t="s">
        <v>170</v>
      </c>
      <c r="J19" s="212"/>
      <c r="K19" s="6"/>
      <c r="L19" s="6"/>
      <c r="M19" s="6"/>
      <c r="N19" s="6"/>
      <c r="O19" s="6"/>
      <c r="P19" s="6"/>
      <c r="Q19" s="6"/>
      <c r="R19" s="6"/>
      <c r="S19" s="6"/>
      <c r="T19" s="6"/>
      <c r="U19" s="6"/>
      <c r="V19" s="6"/>
      <c r="W19" s="6"/>
      <c r="X19" s="6"/>
      <c r="AB19" s="12">
        <v>13</v>
      </c>
      <c r="AC19" s="18"/>
      <c r="AD19" s="18"/>
    </row>
    <row r="20" spans="7:30" x14ac:dyDescent="0.2">
      <c r="G20" s="157"/>
      <c r="J20" s="212" t="s">
        <v>171</v>
      </c>
      <c r="K20" s="61">
        <v>0.6</v>
      </c>
      <c r="L20" s="61">
        <v>0.6</v>
      </c>
      <c r="M20" s="61">
        <v>0.6</v>
      </c>
      <c r="N20" s="61">
        <v>0.6</v>
      </c>
      <c r="O20" s="61">
        <v>0.6</v>
      </c>
      <c r="P20" s="61">
        <v>0.6</v>
      </c>
      <c r="Q20" s="61">
        <v>0.6</v>
      </c>
      <c r="R20" s="61">
        <v>0.6</v>
      </c>
      <c r="S20" s="61">
        <v>0.6</v>
      </c>
      <c r="T20" s="61">
        <v>0.6</v>
      </c>
      <c r="U20" s="61">
        <v>0.6</v>
      </c>
      <c r="V20" s="61">
        <v>0.6</v>
      </c>
      <c r="W20" s="61">
        <v>0.6</v>
      </c>
      <c r="X20" s="61">
        <v>0.6</v>
      </c>
      <c r="AB20" s="12">
        <v>14</v>
      </c>
      <c r="AC20" s="18"/>
      <c r="AD20" s="18"/>
    </row>
    <row r="21" spans="7:30" x14ac:dyDescent="0.2">
      <c r="G21" s="157"/>
      <c r="J21" s="212" t="s">
        <v>35</v>
      </c>
      <c r="K21" s="276">
        <f>K20*K15</f>
        <v>60</v>
      </c>
      <c r="L21" s="276">
        <f t="shared" ref="L21:X21" si="0">L20*L15</f>
        <v>60</v>
      </c>
      <c r="M21" s="276">
        <f t="shared" si="0"/>
        <v>60</v>
      </c>
      <c r="N21" s="276">
        <f t="shared" si="0"/>
        <v>60</v>
      </c>
      <c r="O21" s="276">
        <f t="shared" si="0"/>
        <v>60</v>
      </c>
      <c r="P21" s="276">
        <f t="shared" si="0"/>
        <v>60</v>
      </c>
      <c r="Q21" s="276">
        <f t="shared" si="0"/>
        <v>60</v>
      </c>
      <c r="R21" s="276">
        <f t="shared" si="0"/>
        <v>60</v>
      </c>
      <c r="S21" s="276">
        <f t="shared" si="0"/>
        <v>60</v>
      </c>
      <c r="T21" s="276">
        <f t="shared" si="0"/>
        <v>60</v>
      </c>
      <c r="U21" s="276">
        <f t="shared" si="0"/>
        <v>60</v>
      </c>
      <c r="V21" s="276">
        <f t="shared" si="0"/>
        <v>60</v>
      </c>
      <c r="W21" s="276">
        <f t="shared" si="0"/>
        <v>60</v>
      </c>
      <c r="X21" s="276">
        <f t="shared" si="0"/>
        <v>60</v>
      </c>
      <c r="AB21" s="12">
        <v>15</v>
      </c>
      <c r="AC21" s="18"/>
      <c r="AD21" s="18"/>
    </row>
    <row r="22" spans="7:30" x14ac:dyDescent="0.2">
      <c r="G22" s="157"/>
      <c r="J22" s="212" t="s">
        <v>37</v>
      </c>
      <c r="K22" s="33">
        <f t="shared" ref="K22:X22" si="1">es.selected.duration</f>
        <v>8</v>
      </c>
      <c r="L22" s="33">
        <f t="shared" si="1"/>
        <v>8</v>
      </c>
      <c r="M22" s="33">
        <f t="shared" si="1"/>
        <v>8</v>
      </c>
      <c r="N22" s="33">
        <f t="shared" si="1"/>
        <v>8</v>
      </c>
      <c r="O22" s="33">
        <f t="shared" si="1"/>
        <v>8</v>
      </c>
      <c r="P22" s="33">
        <f t="shared" si="1"/>
        <v>8</v>
      </c>
      <c r="Q22" s="33">
        <f t="shared" si="1"/>
        <v>8</v>
      </c>
      <c r="R22" s="33">
        <f t="shared" si="1"/>
        <v>8</v>
      </c>
      <c r="S22" s="33">
        <f t="shared" si="1"/>
        <v>8</v>
      </c>
      <c r="T22" s="33">
        <f t="shared" si="1"/>
        <v>8</v>
      </c>
      <c r="U22" s="33">
        <f t="shared" si="1"/>
        <v>8</v>
      </c>
      <c r="V22" s="33">
        <f t="shared" si="1"/>
        <v>8</v>
      </c>
      <c r="W22" s="33">
        <f t="shared" si="1"/>
        <v>8</v>
      </c>
      <c r="X22" s="33">
        <f t="shared" si="1"/>
        <v>8</v>
      </c>
      <c r="AB22" s="12">
        <v>16</v>
      </c>
      <c r="AC22" s="18"/>
      <c r="AD22" s="18"/>
    </row>
    <row r="23" spans="7:30" x14ac:dyDescent="0.2">
      <c r="G23" s="157"/>
      <c r="J23" s="212" t="s">
        <v>38</v>
      </c>
      <c r="K23" s="33">
        <f>K21*K22</f>
        <v>480</v>
      </c>
      <c r="L23" s="33">
        <f t="shared" ref="L23:X23" si="2">L21*L22</f>
        <v>480</v>
      </c>
      <c r="M23" s="33">
        <f t="shared" si="2"/>
        <v>480</v>
      </c>
      <c r="N23" s="33">
        <f t="shared" si="2"/>
        <v>480</v>
      </c>
      <c r="O23" s="33">
        <f t="shared" si="2"/>
        <v>480</v>
      </c>
      <c r="P23" s="33">
        <f t="shared" si="2"/>
        <v>480</v>
      </c>
      <c r="Q23" s="33">
        <f t="shared" si="2"/>
        <v>480</v>
      </c>
      <c r="R23" s="33">
        <f t="shared" si="2"/>
        <v>480</v>
      </c>
      <c r="S23" s="33">
        <f t="shared" si="2"/>
        <v>480</v>
      </c>
      <c r="T23" s="33">
        <f t="shared" si="2"/>
        <v>480</v>
      </c>
      <c r="U23" s="33">
        <f t="shared" si="2"/>
        <v>480</v>
      </c>
      <c r="V23" s="33">
        <f t="shared" si="2"/>
        <v>480</v>
      </c>
      <c r="W23" s="33">
        <f t="shared" si="2"/>
        <v>480</v>
      </c>
      <c r="X23" s="33">
        <f t="shared" si="2"/>
        <v>480</v>
      </c>
      <c r="AB23" s="12">
        <v>17</v>
      </c>
      <c r="AC23" s="18"/>
      <c r="AD23" s="18"/>
    </row>
    <row r="24" spans="7:30" x14ac:dyDescent="0.2">
      <c r="G24" s="157"/>
      <c r="J24" s="212" t="s">
        <v>39</v>
      </c>
      <c r="K24" s="44">
        <f>K23/K100</f>
        <v>3600</v>
      </c>
      <c r="L24" s="44">
        <f t="shared" ref="L24:X24" si="3">L23/L100</f>
        <v>3349.8489425981879</v>
      </c>
      <c r="M24" s="44">
        <f t="shared" si="3"/>
        <v>3132.2033898305081</v>
      </c>
      <c r="N24" s="44">
        <f t="shared" si="3"/>
        <v>2941.1140583554375</v>
      </c>
      <c r="O24" s="44">
        <f t="shared" si="3"/>
        <v>2771.9999999999995</v>
      </c>
      <c r="P24" s="44">
        <f t="shared" si="3"/>
        <v>2621.2765957446804</v>
      </c>
      <c r="Q24" s="44">
        <f t="shared" si="3"/>
        <v>2486.0986547085195</v>
      </c>
      <c r="R24" s="44">
        <f t="shared" si="3"/>
        <v>2364.1791044776114</v>
      </c>
      <c r="S24" s="44">
        <f t="shared" si="3"/>
        <v>2253.6585365853653</v>
      </c>
      <c r="T24" s="44">
        <f t="shared" si="3"/>
        <v>2153.0097087378635</v>
      </c>
      <c r="U24" s="44">
        <f t="shared" si="3"/>
        <v>2060.966542750929</v>
      </c>
      <c r="V24" s="44">
        <f t="shared" si="3"/>
        <v>1976.4705882352935</v>
      </c>
      <c r="W24" s="44">
        <f t="shared" si="3"/>
        <v>1898.6301369863004</v>
      </c>
      <c r="X24" s="44">
        <f t="shared" si="3"/>
        <v>1759.9999999999998</v>
      </c>
      <c r="AB24" s="12">
        <v>18</v>
      </c>
      <c r="AC24" s="18"/>
      <c r="AD24" s="18"/>
    </row>
    <row r="25" spans="7:30" x14ac:dyDescent="0.2">
      <c r="G25" s="157"/>
      <c r="J25" s="212" t="s">
        <v>41</v>
      </c>
      <c r="K25" s="61">
        <v>0.8</v>
      </c>
      <c r="L25" s="61">
        <v>0.8</v>
      </c>
      <c r="M25" s="61">
        <v>0.8</v>
      </c>
      <c r="N25" s="61">
        <v>0.8</v>
      </c>
      <c r="O25" s="61">
        <v>0.8</v>
      </c>
      <c r="P25" s="61">
        <v>0.8</v>
      </c>
      <c r="Q25" s="61">
        <v>0.8</v>
      </c>
      <c r="R25" s="61">
        <v>0.8</v>
      </c>
      <c r="S25" s="61">
        <v>0.8</v>
      </c>
      <c r="T25" s="61">
        <v>0.8</v>
      </c>
      <c r="U25" s="61">
        <v>0.8</v>
      </c>
      <c r="V25" s="61">
        <v>0.8</v>
      </c>
      <c r="W25" s="61">
        <v>0.8</v>
      </c>
      <c r="X25" s="61">
        <v>0.8</v>
      </c>
      <c r="AB25" s="12">
        <v>19</v>
      </c>
      <c r="AC25" s="18"/>
      <c r="AD25" s="18"/>
    </row>
    <row r="26" spans="7:30" x14ac:dyDescent="0.2">
      <c r="G26" s="157"/>
      <c r="J26" s="212" t="s">
        <v>43</v>
      </c>
      <c r="K26" s="23">
        <v>16</v>
      </c>
      <c r="L26" s="23">
        <v>16</v>
      </c>
      <c r="M26" s="23">
        <v>16</v>
      </c>
      <c r="N26" s="23">
        <v>16</v>
      </c>
      <c r="O26" s="23">
        <v>16</v>
      </c>
      <c r="P26" s="23">
        <v>16</v>
      </c>
      <c r="Q26" s="23">
        <v>16</v>
      </c>
      <c r="R26" s="23">
        <v>16</v>
      </c>
      <c r="S26" s="23">
        <v>16</v>
      </c>
      <c r="T26" s="23">
        <v>16</v>
      </c>
      <c r="U26" s="23">
        <v>16</v>
      </c>
      <c r="V26" s="23">
        <v>16</v>
      </c>
      <c r="W26" s="23">
        <v>16</v>
      </c>
      <c r="X26" s="23">
        <v>16</v>
      </c>
      <c r="AB26" s="12">
        <v>20</v>
      </c>
      <c r="AC26" s="18"/>
      <c r="AD26" s="18"/>
    </row>
    <row r="27" spans="7:30" x14ac:dyDescent="0.2">
      <c r="G27" s="157"/>
      <c r="J27" s="212" t="s">
        <v>44</v>
      </c>
      <c r="K27" s="41">
        <f>300*K23*85%/(K21*8760)</f>
        <v>0.23287671232876711</v>
      </c>
      <c r="L27" s="41">
        <f t="shared" ref="L27:X27" si="4">300*L23*85%/(L21*8760)</f>
        <v>0.23287671232876711</v>
      </c>
      <c r="M27" s="41">
        <f t="shared" si="4"/>
        <v>0.23287671232876711</v>
      </c>
      <c r="N27" s="41">
        <f t="shared" si="4"/>
        <v>0.23287671232876711</v>
      </c>
      <c r="O27" s="41">
        <f t="shared" si="4"/>
        <v>0.23287671232876711</v>
      </c>
      <c r="P27" s="41">
        <f t="shared" si="4"/>
        <v>0.23287671232876711</v>
      </c>
      <c r="Q27" s="41">
        <f t="shared" si="4"/>
        <v>0.23287671232876711</v>
      </c>
      <c r="R27" s="41">
        <f t="shared" si="4"/>
        <v>0.23287671232876711</v>
      </c>
      <c r="S27" s="41">
        <f t="shared" si="4"/>
        <v>0.23287671232876711</v>
      </c>
      <c r="T27" s="41">
        <f t="shared" si="4"/>
        <v>0.23287671232876711</v>
      </c>
      <c r="U27" s="41">
        <f t="shared" si="4"/>
        <v>0.23287671232876711</v>
      </c>
      <c r="V27" s="41">
        <f t="shared" si="4"/>
        <v>0.23287671232876711</v>
      </c>
      <c r="W27" s="41">
        <f t="shared" si="4"/>
        <v>0.23287671232876711</v>
      </c>
      <c r="X27" s="41">
        <f t="shared" si="4"/>
        <v>0.23287671232876711</v>
      </c>
      <c r="AB27" s="12">
        <v>21</v>
      </c>
      <c r="AC27" s="18"/>
      <c r="AD27" s="18"/>
    </row>
    <row r="28" spans="7:30" x14ac:dyDescent="0.2">
      <c r="G28" s="157"/>
      <c r="J28" s="212" t="s">
        <v>172</v>
      </c>
      <c r="K28" s="35">
        <f t="shared" ref="K28:X28" si="5">300*K23*85%/(K21*8760)</f>
        <v>0.23287671232876711</v>
      </c>
      <c r="L28" s="35">
        <f t="shared" si="5"/>
        <v>0.23287671232876711</v>
      </c>
      <c r="M28" s="35">
        <f t="shared" si="5"/>
        <v>0.23287671232876711</v>
      </c>
      <c r="N28" s="35">
        <f t="shared" si="5"/>
        <v>0.23287671232876711</v>
      </c>
      <c r="O28" s="35">
        <f t="shared" si="5"/>
        <v>0.23287671232876711</v>
      </c>
      <c r="P28" s="35">
        <f t="shared" si="5"/>
        <v>0.23287671232876711</v>
      </c>
      <c r="Q28" s="35">
        <f t="shared" si="5"/>
        <v>0.23287671232876711</v>
      </c>
      <c r="R28" s="35">
        <f t="shared" si="5"/>
        <v>0.23287671232876711</v>
      </c>
      <c r="S28" s="35">
        <f t="shared" si="5"/>
        <v>0.23287671232876711</v>
      </c>
      <c r="T28" s="35">
        <f t="shared" si="5"/>
        <v>0.23287671232876711</v>
      </c>
      <c r="U28" s="35">
        <f t="shared" si="5"/>
        <v>0.23287671232876711</v>
      </c>
      <c r="V28" s="35">
        <f t="shared" si="5"/>
        <v>0.23287671232876711</v>
      </c>
      <c r="W28" s="35">
        <f t="shared" si="5"/>
        <v>0.23287671232876711</v>
      </c>
      <c r="X28" s="35">
        <f t="shared" si="5"/>
        <v>0.23287671232876711</v>
      </c>
      <c r="AB28" s="12">
        <v>22</v>
      </c>
      <c r="AC28" s="18"/>
      <c r="AD28" s="18"/>
    </row>
    <row r="29" spans="7:30" x14ac:dyDescent="0.2">
      <c r="G29" s="157"/>
      <c r="J29" s="212"/>
      <c r="AB29" s="12">
        <v>23</v>
      </c>
      <c r="AC29" s="18"/>
      <c r="AD29" s="18"/>
    </row>
    <row r="30" spans="7:30" x14ac:dyDescent="0.2">
      <c r="G30" s="156" t="s">
        <v>45</v>
      </c>
      <c r="AB30" s="12">
        <v>24</v>
      </c>
      <c r="AC30" s="18"/>
      <c r="AD30" s="18"/>
    </row>
    <row r="31" spans="7:30" x14ac:dyDescent="0.2">
      <c r="H31" s="30"/>
      <c r="I31" s="30"/>
      <c r="J31" s="236" t="s">
        <v>46</v>
      </c>
      <c r="K31" s="162">
        <f>K36+K52+K59</f>
        <v>554.74278129470122</v>
      </c>
      <c r="L31" s="162">
        <f t="shared" ref="L31:X31" si="6">L36+L52+L59</f>
        <v>513.18996615358151</v>
      </c>
      <c r="M31" s="162">
        <f t="shared" si="6"/>
        <v>484.1253984747259</v>
      </c>
      <c r="N31" s="162">
        <f t="shared" si="6"/>
        <v>461.33145840793958</v>
      </c>
      <c r="O31" s="162">
        <f t="shared" si="6"/>
        <v>442.46716615827734</v>
      </c>
      <c r="P31" s="162">
        <f t="shared" si="6"/>
        <v>428.41395916552113</v>
      </c>
      <c r="Q31" s="162">
        <f t="shared" si="6"/>
        <v>416.28560756548609</v>
      </c>
      <c r="R31" s="162">
        <f t="shared" si="6"/>
        <v>405.64547530205982</v>
      </c>
      <c r="S31" s="162">
        <f t="shared" si="6"/>
        <v>396.19383575832205</v>
      </c>
      <c r="T31" s="162">
        <f t="shared" si="6"/>
        <v>387.71487203043461</v>
      </c>
      <c r="U31" s="162">
        <f t="shared" si="6"/>
        <v>380.0474351167943</v>
      </c>
      <c r="V31" s="162">
        <f t="shared" si="6"/>
        <v>373.06771333104138</v>
      </c>
      <c r="W31" s="162">
        <f t="shared" si="6"/>
        <v>366.67836949244958</v>
      </c>
      <c r="X31" s="162">
        <f t="shared" si="6"/>
        <v>358.84988447812225</v>
      </c>
      <c r="AB31" s="12">
        <v>25</v>
      </c>
      <c r="AC31" s="18" t="s">
        <v>118</v>
      </c>
      <c r="AD31" s="18"/>
    </row>
    <row r="32" spans="7:30" x14ac:dyDescent="0.2">
      <c r="H32" s="30"/>
      <c r="J32" s="236" t="s">
        <v>48</v>
      </c>
      <c r="K32" s="162">
        <f>K66</f>
        <v>6.6622339285714292</v>
      </c>
      <c r="L32" s="162">
        <f t="shared" ref="L32:X32" si="7">L66</f>
        <v>6.5535061899919231</v>
      </c>
      <c r="M32" s="162">
        <f t="shared" si="7"/>
        <v>6.4823396511094531</v>
      </c>
      <c r="N32" s="162">
        <f t="shared" si="7"/>
        <v>6.4264300732634512</v>
      </c>
      <c r="O32" s="162">
        <f t="shared" si="7"/>
        <v>6.3787854400584214</v>
      </c>
      <c r="P32" s="162">
        <f t="shared" si="7"/>
        <v>6.3362897395132718</v>
      </c>
      <c r="Q32" s="162">
        <f t="shared" si="7"/>
        <v>6.2972795597543856</v>
      </c>
      <c r="R32" s="162">
        <f t="shared" si="7"/>
        <v>6.2607609987827804</v>
      </c>
      <c r="S32" s="162">
        <f t="shared" si="7"/>
        <v>6.2260921550173824</v>
      </c>
      <c r="T32" s="162">
        <f t="shared" si="7"/>
        <v>6.2239346261462378</v>
      </c>
      <c r="U32" s="162">
        <f t="shared" si="7"/>
        <v>6.2230596780133292</v>
      </c>
      <c r="V32" s="162">
        <f t="shared" si="7"/>
        <v>6.223237335362322</v>
      </c>
      <c r="W32" s="162">
        <f t="shared" si="7"/>
        <v>6.2242929372394951</v>
      </c>
      <c r="X32" s="162">
        <f t="shared" si="7"/>
        <v>6.226090703255398</v>
      </c>
      <c r="AB32" s="12">
        <v>26</v>
      </c>
      <c r="AC32" s="18"/>
      <c r="AD32" s="18"/>
    </row>
    <row r="33" spans="7:30" x14ac:dyDescent="0.2">
      <c r="H33" s="30"/>
      <c r="AB33" s="12">
        <v>27</v>
      </c>
      <c r="AC33" s="18"/>
      <c r="AD33" s="18"/>
    </row>
    <row r="34" spans="7:30" x14ac:dyDescent="0.2">
      <c r="G34" s="156" t="s">
        <v>50</v>
      </c>
      <c r="AB34" s="12">
        <v>28</v>
      </c>
      <c r="AC34" s="18"/>
      <c r="AD34" s="18"/>
    </row>
    <row r="35" spans="7:30" x14ac:dyDescent="0.2">
      <c r="G35" s="19" t="str">
        <f>"CAPEX (2022$M) - "&amp;selected.location</f>
        <v>CAPEX (2022$M) - Ontario</v>
      </c>
      <c r="AB35" s="12">
        <v>29</v>
      </c>
      <c r="AC35" s="18"/>
      <c r="AD35" s="18"/>
    </row>
    <row r="36" spans="7:30" x14ac:dyDescent="0.2">
      <c r="H36" s="19" t="s">
        <v>51</v>
      </c>
      <c r="K36" s="166">
        <f t="shared" ref="K36:X36" si="8">SUM(K37,K42,K48)</f>
        <v>424.9501851033047</v>
      </c>
      <c r="L36" s="166">
        <f t="shared" si="8"/>
        <v>392.09756511840226</v>
      </c>
      <c r="M36" s="166">
        <f t="shared" si="8"/>
        <v>368.93539948457834</v>
      </c>
      <c r="N36" s="166">
        <f t="shared" si="8"/>
        <v>350.64547733037239</v>
      </c>
      <c r="O36" s="166">
        <f t="shared" si="8"/>
        <v>335.41267405496797</v>
      </c>
      <c r="P36" s="166">
        <f t="shared" si="8"/>
        <v>324.38340181232093</v>
      </c>
      <c r="Q36" s="166">
        <f t="shared" si="8"/>
        <v>314.82686916155035</v>
      </c>
      <c r="R36" s="166">
        <f t="shared" si="8"/>
        <v>306.40671046677653</v>
      </c>
      <c r="S36" s="166">
        <f t="shared" si="8"/>
        <v>298.89223423072065</v>
      </c>
      <c r="T36" s="166">
        <f t="shared" si="8"/>
        <v>292.11745618304849</v>
      </c>
      <c r="U36" s="166">
        <f t="shared" si="8"/>
        <v>285.95851078956969</v>
      </c>
      <c r="V36" s="166">
        <f t="shared" si="8"/>
        <v>280.32027311237835</v>
      </c>
      <c r="W36" s="166">
        <f t="shared" si="8"/>
        <v>275.12797945125573</v>
      </c>
      <c r="X36" s="166">
        <f t="shared" si="8"/>
        <v>268.95284387706505</v>
      </c>
      <c r="AB36" s="12">
        <v>30</v>
      </c>
      <c r="AC36" s="18"/>
      <c r="AD36" s="18"/>
    </row>
    <row r="37" spans="7:30" x14ac:dyDescent="0.2">
      <c r="I37" s="19" t="s">
        <v>173</v>
      </c>
      <c r="K37" s="166">
        <f>SUM(K38:K41)</f>
        <v>92.377974538225075</v>
      </c>
      <c r="L37" s="166">
        <f t="shared" ref="L37:X37" si="9">SUM(L38:L41)</f>
        <v>82.635788015030542</v>
      </c>
      <c r="M37" s="166">
        <f t="shared" si="9"/>
        <v>77.002330761121527</v>
      </c>
      <c r="N37" s="166">
        <f t="shared" si="9"/>
        <v>73.057885056055213</v>
      </c>
      <c r="O37" s="166">
        <f t="shared" si="9"/>
        <v>70.038456482536645</v>
      </c>
      <c r="P37" s="166">
        <f t="shared" si="9"/>
        <v>67.602708019194026</v>
      </c>
      <c r="Q37" s="166">
        <f t="shared" si="9"/>
        <v>65.568396549609119</v>
      </c>
      <c r="R37" s="166">
        <f t="shared" si="9"/>
        <v>63.826770275300838</v>
      </c>
      <c r="S37" s="166">
        <f t="shared" si="9"/>
        <v>62.307752011644887</v>
      </c>
      <c r="T37" s="166">
        <f t="shared" si="9"/>
        <v>60.963562865400782</v>
      </c>
      <c r="U37" s="166">
        <f t="shared" si="9"/>
        <v>59.760183619540484</v>
      </c>
      <c r="V37" s="166">
        <f t="shared" si="9"/>
        <v>58.672544701368743</v>
      </c>
      <c r="W37" s="166">
        <f t="shared" si="9"/>
        <v>57.681647786328803</v>
      </c>
      <c r="X37" s="166">
        <f t="shared" si="9"/>
        <v>56.772757503884257</v>
      </c>
      <c r="AB37" s="12">
        <v>31</v>
      </c>
      <c r="AC37" s="18"/>
      <c r="AD37" s="18"/>
    </row>
    <row r="38" spans="7:30" x14ac:dyDescent="0.2">
      <c r="J38" s="160" t="s">
        <v>120</v>
      </c>
      <c r="K38" s="155" cm="1">
        <f t="array" ref="K38:X38">_xlfn.ANCHORARRAY(K14)*_xlfn.ANCHORARRAY(K75)</f>
        <v>61.44285714285715</v>
      </c>
      <c r="L38" s="155">
        <v>54.068010378289223</v>
      </c>
      <c r="M38" s="155">
        <v>49.811529628100715</v>
      </c>
      <c r="N38" s="155">
        <v>46.825878836963113</v>
      </c>
      <c r="O38" s="155">
        <v>44.533451296596411</v>
      </c>
      <c r="P38" s="155">
        <v>42.677552682860103</v>
      </c>
      <c r="Q38" s="155">
        <v>41.121561144023978</v>
      </c>
      <c r="R38" s="155">
        <v>39.784106782312939</v>
      </c>
      <c r="S38" s="155">
        <v>38.612820497686315</v>
      </c>
      <c r="T38" s="155">
        <v>37.572024039879601</v>
      </c>
      <c r="U38" s="155">
        <v>36.636325769130913</v>
      </c>
      <c r="V38" s="155">
        <v>35.787018860573291</v>
      </c>
      <c r="W38" s="155">
        <v>35.00992855977151</v>
      </c>
      <c r="X38" s="155">
        <v>34.294061000206135</v>
      </c>
      <c r="AB38" s="12">
        <v>32</v>
      </c>
      <c r="AC38" s="18" t="str">
        <f>"Module Costs ($M) = Module Costs ("&amp;AB64&amp;") * Solar Module Capacity ("&amp;AB27&amp;")"</f>
        <v>Module Costs ($M) = Module Costs (58) * Solar Module Capacity (21)</v>
      </c>
      <c r="AD38" s="18"/>
    </row>
    <row r="39" spans="7:30" x14ac:dyDescent="0.2">
      <c r="J39" s="160" t="s">
        <v>121</v>
      </c>
      <c r="K39" s="155" cm="1">
        <f t="array" ref="K39:X39">_xlfn.ANCHORARRAY(K76)*_xlfn.ANCHORARRAY(K15)</f>
        <v>6.18</v>
      </c>
      <c r="L39" s="155">
        <v>5.4175381013840607</v>
      </c>
      <c r="M39" s="155">
        <v>4.9715264824650793</v>
      </c>
      <c r="N39" s="155">
        <v>4.6550762027681207</v>
      </c>
      <c r="O39" s="155">
        <v>4.4096182963224901</v>
      </c>
      <c r="P39" s="155">
        <v>4.2090645838491394</v>
      </c>
      <c r="Q39" s="155">
        <v>4.0394988360391553</v>
      </c>
      <c r="R39" s="155">
        <v>3.8926143041521808</v>
      </c>
      <c r="S39" s="155">
        <v>3.763052964930159</v>
      </c>
      <c r="T39" s="155">
        <v>3.6471563977065498</v>
      </c>
      <c r="U39" s="155">
        <v>3.5423151999217923</v>
      </c>
      <c r="V39" s="155">
        <v>3.4466026852331995</v>
      </c>
      <c r="W39" s="155">
        <v>3.35855570679231</v>
      </c>
      <c r="X39" s="155">
        <v>3.2770369374232158</v>
      </c>
      <c r="AB39" s="12">
        <v>33</v>
      </c>
      <c r="AC39" s="18" t="s">
        <v>122</v>
      </c>
      <c r="AD39" s="18"/>
    </row>
    <row r="40" spans="7:30" x14ac:dyDescent="0.2">
      <c r="J40" s="160" t="s">
        <v>174</v>
      </c>
      <c r="K40" s="155" cm="1">
        <f t="array" ref="K40:X40">((_xlfn.ANCHORARRAY(K77))*solar_selected.module.capacity*1000/forecast_solar.module.efficiency)/1000/1000</f>
        <v>23.497117395367926</v>
      </c>
      <c r="L40" s="155">
        <v>21.89223953535727</v>
      </c>
      <c r="M40" s="155">
        <v>20.96127465055574</v>
      </c>
      <c r="N40" s="155">
        <v>20.318930016323979</v>
      </c>
      <c r="O40" s="155">
        <v>19.837386889617751</v>
      </c>
      <c r="P40" s="155">
        <v>19.458090752484793</v>
      </c>
      <c r="Q40" s="155">
        <v>19.14933656954598</v>
      </c>
      <c r="R40" s="155">
        <v>18.892049188835713</v>
      </c>
      <c r="S40" s="155">
        <v>18.673878549028409</v>
      </c>
      <c r="T40" s="155">
        <v>18.486382427814625</v>
      </c>
      <c r="U40" s="155">
        <v>18.323542650487774</v>
      </c>
      <c r="V40" s="155">
        <v>18.180923155562251</v>
      </c>
      <c r="W40" s="155">
        <v>18.055163519764982</v>
      </c>
      <c r="X40" s="155">
        <v>17.943659566254905</v>
      </c>
      <c r="AB40" s="12">
        <v>34</v>
      </c>
      <c r="AC40" s="18" t="s">
        <v>123</v>
      </c>
      <c r="AD40" s="18"/>
    </row>
    <row r="41" spans="7:30" x14ac:dyDescent="0.2">
      <c r="J41" s="160" t="s">
        <v>124</v>
      </c>
      <c r="K41" s="155" cm="1">
        <f t="array" ref="K41:X41">_xlfn.ANCHORARRAY(K80)*_xlfn.ANCHORARRAY(K81)</f>
        <v>1.2579999999999998</v>
      </c>
      <c r="L41" s="155">
        <v>1.2579999999999998</v>
      </c>
      <c r="M41" s="155">
        <v>1.2579999999999998</v>
      </c>
      <c r="N41" s="155">
        <v>1.2579999999999998</v>
      </c>
      <c r="O41" s="155">
        <v>1.2579999999999998</v>
      </c>
      <c r="P41" s="155">
        <v>1.2579999999999998</v>
      </c>
      <c r="Q41" s="155">
        <v>1.2579999999999998</v>
      </c>
      <c r="R41" s="155">
        <v>1.2579999999999998</v>
      </c>
      <c r="S41" s="155">
        <v>1.2579999999999998</v>
      </c>
      <c r="T41" s="155">
        <v>1.2579999999999998</v>
      </c>
      <c r="U41" s="155">
        <v>1.2579999999999998</v>
      </c>
      <c r="V41" s="155">
        <v>1.2579999999999998</v>
      </c>
      <c r="W41" s="155">
        <v>1.2579999999999998</v>
      </c>
      <c r="X41" s="155">
        <v>1.2579999999999998</v>
      </c>
      <c r="AB41" s="12">
        <v>35</v>
      </c>
      <c r="AC41" s="18" t="s">
        <v>125</v>
      </c>
      <c r="AD41" s="18"/>
    </row>
    <row r="42" spans="7:30" x14ac:dyDescent="0.2">
      <c r="I42" s="19" t="s">
        <v>175</v>
      </c>
      <c r="J42" s="160"/>
      <c r="K42" s="166">
        <f t="shared" ref="K42:X42" si="10">SUM(K43:K46)</f>
        <v>250.90678540799138</v>
      </c>
      <c r="L42" s="166">
        <f t="shared" si="10"/>
        <v>230.57982973530699</v>
      </c>
      <c r="M42" s="166">
        <f t="shared" si="10"/>
        <v>215.61167270730479</v>
      </c>
      <c r="N42" s="166">
        <f t="shared" si="10"/>
        <v>203.63689652307463</v>
      </c>
      <c r="O42" s="166">
        <f t="shared" si="10"/>
        <v>193.63059096581071</v>
      </c>
      <c r="P42" s="166">
        <f t="shared" si="10"/>
        <v>185.03706718650633</v>
      </c>
      <c r="Q42" s="166">
        <f t="shared" si="10"/>
        <v>177.51484600532063</v>
      </c>
      <c r="R42" s="166">
        <f t="shared" si="10"/>
        <v>170.83631358485511</v>
      </c>
      <c r="S42" s="166">
        <f t="shared" si="10"/>
        <v>164.84085561245513</v>
      </c>
      <c r="T42" s="166">
        <f t="shared" si="10"/>
        <v>159.41026671102708</v>
      </c>
      <c r="U42" s="166">
        <f t="shared" si="10"/>
        <v>154.45470056340855</v>
      </c>
      <c r="V42" s="166">
        <f t="shared" si="10"/>
        <v>149.90410180438903</v>
      </c>
      <c r="W42" s="166">
        <f t="shared" si="10"/>
        <v>145.70270505830632</v>
      </c>
      <c r="X42" s="166">
        <f t="shared" si="10"/>
        <v>140.43645976656018</v>
      </c>
      <c r="AB42" s="12">
        <v>36</v>
      </c>
      <c r="AC42" s="18"/>
      <c r="AD42" s="18"/>
    </row>
    <row r="43" spans="7:30" x14ac:dyDescent="0.2">
      <c r="J43" s="160" t="s">
        <v>53</v>
      </c>
      <c r="K43" s="155">
        <f>K23*K93*1000/1000000/K25</f>
        <v>136.19999999999999</v>
      </c>
      <c r="L43" s="155">
        <f t="shared" ref="L43:X43" si="11">L23*L93*1000/1000000/L25</f>
        <v>123.22924649982748</v>
      </c>
      <c r="M43" s="155">
        <f t="shared" si="11"/>
        <v>114.02635043411865</v>
      </c>
      <c r="N43" s="155">
        <f t="shared" si="11"/>
        <v>106.88802967267449</v>
      </c>
      <c r="O43" s="155">
        <f t="shared" si="11"/>
        <v>101.05559693394612</v>
      </c>
      <c r="P43" s="155">
        <f t="shared" si="11"/>
        <v>96.124345317123911</v>
      </c>
      <c r="Q43" s="155">
        <f t="shared" si="11"/>
        <v>91.852700868237321</v>
      </c>
      <c r="R43" s="155">
        <f t="shared" si="11"/>
        <v>88.084843433773585</v>
      </c>
      <c r="S43" s="155">
        <f t="shared" si="11"/>
        <v>84.714380106793143</v>
      </c>
      <c r="T43" s="155">
        <f t="shared" si="11"/>
        <v>81.665425157088237</v>
      </c>
      <c r="U43" s="155">
        <f t="shared" si="11"/>
        <v>78.881947368064772</v>
      </c>
      <c r="V43" s="155">
        <f t="shared" si="11"/>
        <v>76.321396016152036</v>
      </c>
      <c r="W43" s="155">
        <f t="shared" si="11"/>
        <v>73.950695751242549</v>
      </c>
      <c r="X43" s="155">
        <f t="shared" si="11"/>
        <v>71.743626606620609</v>
      </c>
      <c r="AB43" s="12">
        <v>37</v>
      </c>
      <c r="AC43" s="18" t="s">
        <v>54</v>
      </c>
      <c r="AD43" s="18"/>
    </row>
    <row r="44" spans="7:30" x14ac:dyDescent="0.2">
      <c r="J44" s="160" t="s">
        <v>174</v>
      </c>
      <c r="K44" s="155">
        <f>SUM(K96)*K23*1000/1000000</f>
        <v>15.36</v>
      </c>
      <c r="L44" s="155">
        <f t="shared" ref="L44:X44" si="12">SUM(L96)*L23*1000/1000000</f>
        <v>14.549028354567699</v>
      </c>
      <c r="M44" s="155">
        <f t="shared" si="12"/>
        <v>14.074640352841671</v>
      </c>
      <c r="N44" s="155">
        <f t="shared" si="12"/>
        <v>13.7380567091354</v>
      </c>
      <c r="O44" s="155">
        <f t="shared" si="12"/>
        <v>13.47698215231371</v>
      </c>
      <c r="P44" s="155">
        <f t="shared" si="12"/>
        <v>13.263668707409371</v>
      </c>
      <c r="Q44" s="155">
        <f t="shared" si="12"/>
        <v>13.083314759546477</v>
      </c>
      <c r="R44" s="155">
        <f t="shared" si="12"/>
        <v>12.9270850637031</v>
      </c>
      <c r="S44" s="155">
        <f t="shared" si="12"/>
        <v>12.789280705683341</v>
      </c>
      <c r="T44" s="155">
        <f t="shared" si="12"/>
        <v>12.666010506881408</v>
      </c>
      <c r="U44" s="155">
        <f t="shared" si="12"/>
        <v>12.554499047973184</v>
      </c>
      <c r="V44" s="155">
        <f t="shared" si="12"/>
        <v>12.452697061977069</v>
      </c>
      <c r="W44" s="155">
        <f t="shared" si="12"/>
        <v>12.359048312956082</v>
      </c>
      <c r="X44" s="155">
        <f t="shared" si="12"/>
        <v>12.272343114114179</v>
      </c>
      <c r="AB44" s="12">
        <v>38</v>
      </c>
      <c r="AC44" s="18" t="s">
        <v>56</v>
      </c>
      <c r="AD44" s="18"/>
    </row>
    <row r="45" spans="7:30" x14ac:dyDescent="0.2">
      <c r="J45" s="160" t="s">
        <v>59</v>
      </c>
      <c r="K45" s="155">
        <f>es.battery.cabinet.costs.2022*K24/1000000</f>
        <v>73.895905034812174</v>
      </c>
      <c r="L45" s="155">
        <f t="shared" ref="L45:X45" si="13">es.battery.cabinet.costs.2022*L24/1000000</f>
        <v>68.761144262000457</v>
      </c>
      <c r="M45" s="155">
        <f t="shared" si="13"/>
        <v>64.293612290175545</v>
      </c>
      <c r="N45" s="155">
        <f t="shared" si="13"/>
        <v>60.371190320217892</v>
      </c>
      <c r="O45" s="155">
        <f t="shared" si="13"/>
        <v>56.899846876805356</v>
      </c>
      <c r="P45" s="155">
        <f t="shared" si="13"/>
        <v>53.806001774756837</v>
      </c>
      <c r="Q45" s="155">
        <f t="shared" si="13"/>
        <v>51.031252804309723</v>
      </c>
      <c r="R45" s="155">
        <f t="shared" si="13"/>
        <v>48.528654052712454</v>
      </c>
      <c r="S45" s="155">
        <f t="shared" si="13"/>
        <v>46.260038111223864</v>
      </c>
      <c r="T45" s="155">
        <f t="shared" si="13"/>
        <v>44.194055826644934</v>
      </c>
      <c r="U45" s="155">
        <f t="shared" si="13"/>
        <v>42.30471886751328</v>
      </c>
      <c r="V45" s="155">
        <f t="shared" si="13"/>
        <v>40.570300803426271</v>
      </c>
      <c r="W45" s="155">
        <f t="shared" si="13"/>
        <v>38.97249786082557</v>
      </c>
      <c r="X45" s="155">
        <f t="shared" si="13"/>
        <v>36.126886905908158</v>
      </c>
      <c r="AB45" s="12">
        <v>39</v>
      </c>
      <c r="AC45" s="18" t="s">
        <v>58</v>
      </c>
      <c r="AD45" s="18"/>
    </row>
    <row r="46" spans="7:30" x14ac:dyDescent="0.2">
      <c r="J46" s="160" t="s">
        <v>176</v>
      </c>
      <c r="K46" s="155" cm="1">
        <f t="array" ref="K46:X46">(((_xlfn.ANCHORARRAY(K78))*solar_selected.module.capacity*1000/forecast_solar.module.efficiency+_xlfn.ANCHORARRAY(K79)) + 1.04*(_xlfn.ANCHORARRAY(K96)*K23:X23*1000))/1000/1000</f>
        <v>25.450880373179174</v>
      </c>
      <c r="L46" s="155">
        <v>24.040410618911334</v>
      </c>
      <c r="M46" s="155">
        <v>23.217069630168947</v>
      </c>
      <c r="N46" s="155">
        <v>22.639619821046828</v>
      </c>
      <c r="O46" s="155">
        <v>22.198165002745526</v>
      </c>
      <c r="P46" s="155">
        <v>21.843051387216214</v>
      </c>
      <c r="Q46" s="155">
        <v>21.547577573227091</v>
      </c>
      <c r="R46" s="155">
        <v>21.29573103466597</v>
      </c>
      <c r="S46" s="155">
        <v>21.077156688754766</v>
      </c>
      <c r="T46" s="155">
        <v>20.884775220412518</v>
      </c>
      <c r="U46" s="155">
        <v>20.713535279857339</v>
      </c>
      <c r="V46" s="155">
        <v>20.559707922833631</v>
      </c>
      <c r="W46" s="155">
        <v>20.420463133282123</v>
      </c>
      <c r="X46" s="155">
        <v>20.293603139917209</v>
      </c>
      <c r="AB46" s="12">
        <v>40</v>
      </c>
      <c r="AC46" s="18"/>
      <c r="AD46" s="18"/>
    </row>
    <row r="47" spans="7:30" x14ac:dyDescent="0.2">
      <c r="J47" s="160"/>
      <c r="K47" s="155"/>
      <c r="L47" s="155"/>
      <c r="M47" s="155"/>
      <c r="N47" s="155"/>
      <c r="O47" s="155"/>
      <c r="P47" s="155"/>
      <c r="Q47" s="155"/>
      <c r="R47" s="155"/>
      <c r="S47" s="155"/>
      <c r="T47" s="155"/>
      <c r="U47" s="155"/>
      <c r="V47" s="155"/>
      <c r="W47" s="155"/>
      <c r="X47" s="155"/>
      <c r="AB47" s="12">
        <v>41</v>
      </c>
      <c r="AC47" s="18"/>
      <c r="AD47" s="18"/>
    </row>
    <row r="48" spans="7:30" x14ac:dyDescent="0.2">
      <c r="I48" s="19" t="s">
        <v>177</v>
      </c>
      <c r="J48" s="160"/>
      <c r="K48" s="166">
        <f>K49*K50</f>
        <v>81.665425157088237</v>
      </c>
      <c r="L48" s="166">
        <f t="shared" ref="L48:X48" si="14">L49*L50</f>
        <v>78.881947368064772</v>
      </c>
      <c r="M48" s="166">
        <f t="shared" si="14"/>
        <v>76.321396016152036</v>
      </c>
      <c r="N48" s="166">
        <f t="shared" si="14"/>
        <v>73.950695751242549</v>
      </c>
      <c r="O48" s="166">
        <f t="shared" si="14"/>
        <v>71.743626606620609</v>
      </c>
      <c r="P48" s="166">
        <f t="shared" si="14"/>
        <v>71.743626606620609</v>
      </c>
      <c r="Q48" s="166">
        <f t="shared" si="14"/>
        <v>71.743626606620609</v>
      </c>
      <c r="R48" s="166">
        <f t="shared" si="14"/>
        <v>71.743626606620609</v>
      </c>
      <c r="S48" s="166">
        <f t="shared" si="14"/>
        <v>71.743626606620609</v>
      </c>
      <c r="T48" s="166">
        <f t="shared" si="14"/>
        <v>71.743626606620609</v>
      </c>
      <c r="U48" s="166">
        <f t="shared" si="14"/>
        <v>71.743626606620609</v>
      </c>
      <c r="V48" s="166">
        <f t="shared" si="14"/>
        <v>71.743626606620609</v>
      </c>
      <c r="W48" s="166">
        <f t="shared" si="14"/>
        <v>71.743626606620609</v>
      </c>
      <c r="X48" s="166">
        <f t="shared" si="14"/>
        <v>71.743626606620609</v>
      </c>
      <c r="AB48" s="12">
        <v>42</v>
      </c>
      <c r="AC48" s="18"/>
      <c r="AD48" s="18"/>
    </row>
    <row r="49" spans="8:34" x14ac:dyDescent="0.2">
      <c r="J49" s="160" t="s">
        <v>178</v>
      </c>
      <c r="K49" s="203">
        <f>ROUND(K16/K26,0)-1</f>
        <v>1</v>
      </c>
      <c r="L49" s="203">
        <f t="shared" ref="L49:T49" si="15">ROUND(L16/L26,0)-1</f>
        <v>1</v>
      </c>
      <c r="M49" s="203">
        <f t="shared" si="15"/>
        <v>1</v>
      </c>
      <c r="N49" s="203">
        <f t="shared" si="15"/>
        <v>1</v>
      </c>
      <c r="O49" s="203">
        <f t="shared" si="15"/>
        <v>1</v>
      </c>
      <c r="P49" s="203">
        <f t="shared" si="15"/>
        <v>1</v>
      </c>
      <c r="Q49" s="203">
        <f t="shared" si="15"/>
        <v>1</v>
      </c>
      <c r="R49" s="203">
        <f t="shared" si="15"/>
        <v>1</v>
      </c>
      <c r="S49" s="203">
        <f t="shared" si="15"/>
        <v>1</v>
      </c>
      <c r="T49" s="203">
        <f t="shared" si="15"/>
        <v>1</v>
      </c>
      <c r="U49" s="203">
        <v>1</v>
      </c>
      <c r="V49" s="203">
        <v>1</v>
      </c>
      <c r="W49" s="203">
        <v>1</v>
      </c>
      <c r="X49" s="203">
        <v>1</v>
      </c>
      <c r="AB49" s="12">
        <v>43</v>
      </c>
      <c r="AC49" s="18"/>
      <c r="AD49" s="18"/>
    </row>
    <row r="50" spans="8:34" x14ac:dyDescent="0.2">
      <c r="J50" s="160" t="s">
        <v>179</v>
      </c>
      <c r="K50" s="202" cm="1">
        <f t="array" ref="K50">INDEX($K$43:$X$43,,10+K4-2022)</f>
        <v>81.665425157088237</v>
      </c>
      <c r="L50" s="202" cm="1">
        <f t="array" ref="L50">INDEX($K$43:$X$43,,10+L4-2022)</f>
        <v>78.881947368064772</v>
      </c>
      <c r="M50" s="202" cm="1">
        <f t="array" ref="M50">INDEX($K$43:$X$43,,10+M4-2022)</f>
        <v>76.321396016152036</v>
      </c>
      <c r="N50" s="202" cm="1">
        <f t="array" ref="N50">INDEX($K$43:$X$43,,10+N4-2022)</f>
        <v>73.950695751242549</v>
      </c>
      <c r="O50" s="202" cm="1">
        <f t="array" ref="O50">INDEX($K$43:$X$43,,10+O4-2022)</f>
        <v>71.743626606620609</v>
      </c>
      <c r="P50" s="202">
        <f>O50</f>
        <v>71.743626606620609</v>
      </c>
      <c r="Q50" s="202">
        <f t="shared" ref="Q50:X50" si="16">P50</f>
        <v>71.743626606620609</v>
      </c>
      <c r="R50" s="202">
        <f t="shared" si="16"/>
        <v>71.743626606620609</v>
      </c>
      <c r="S50" s="202">
        <f t="shared" si="16"/>
        <v>71.743626606620609</v>
      </c>
      <c r="T50" s="202">
        <f t="shared" si="16"/>
        <v>71.743626606620609</v>
      </c>
      <c r="U50" s="202">
        <f t="shared" si="16"/>
        <v>71.743626606620609</v>
      </c>
      <c r="V50" s="202">
        <f t="shared" si="16"/>
        <v>71.743626606620609</v>
      </c>
      <c r="W50" s="202">
        <f t="shared" si="16"/>
        <v>71.743626606620609</v>
      </c>
      <c r="X50" s="202">
        <f t="shared" si="16"/>
        <v>71.743626606620609</v>
      </c>
      <c r="AB50" s="12">
        <v>44</v>
      </c>
      <c r="AC50" s="18"/>
      <c r="AD50" s="18"/>
    </row>
    <row r="51" spans="8:34" x14ac:dyDescent="0.2">
      <c r="J51" s="160"/>
      <c r="K51" s="155"/>
      <c r="L51" s="155"/>
      <c r="M51" s="155"/>
      <c r="N51" s="155"/>
      <c r="O51" s="155"/>
      <c r="P51" s="155"/>
      <c r="Q51" s="155"/>
      <c r="R51" s="155"/>
      <c r="S51" s="155"/>
      <c r="T51" s="155"/>
      <c r="U51" s="155"/>
      <c r="V51" s="155"/>
      <c r="W51" s="155"/>
      <c r="X51" s="155"/>
      <c r="AB51" s="12">
        <v>45</v>
      </c>
      <c r="AC51" s="18"/>
      <c r="AD51" s="18"/>
    </row>
    <row r="52" spans="8:34" x14ac:dyDescent="0.2">
      <c r="H52" s="19" t="s">
        <v>180</v>
      </c>
      <c r="K52" s="166">
        <f>75%*SUM(K54:K58)</f>
        <v>26.235859897415761</v>
      </c>
      <c r="L52" s="166">
        <f t="shared" ref="L52:X52" si="17">75%*SUM(L54:L58)</f>
        <v>25.694099618823326</v>
      </c>
      <c r="M52" s="166">
        <f t="shared" si="17"/>
        <v>25.333234373910365</v>
      </c>
      <c r="N52" s="166">
        <f t="shared" si="17"/>
        <v>25.086683987623186</v>
      </c>
      <c r="O52" s="166">
        <f t="shared" si="17"/>
        <v>24.92237827320546</v>
      </c>
      <c r="P52" s="166">
        <f t="shared" si="17"/>
        <v>24.821620057091195</v>
      </c>
      <c r="Q52" s="166">
        <f t="shared" si="17"/>
        <v>24.772229359011014</v>
      </c>
      <c r="R52" s="166">
        <f t="shared" si="17"/>
        <v>24.765692899359987</v>
      </c>
      <c r="S52" s="166">
        <f t="shared" si="17"/>
        <v>24.795770512885127</v>
      </c>
      <c r="T52" s="166">
        <f t="shared" si="17"/>
        <v>24.857731420995052</v>
      </c>
      <c r="U52" s="166">
        <f t="shared" si="17"/>
        <v>24.947899006561954</v>
      </c>
      <c r="V52" s="166">
        <f t="shared" si="17"/>
        <v>25.063361657486283</v>
      </c>
      <c r="W52" s="166">
        <f t="shared" si="17"/>
        <v>25.201779824820036</v>
      </c>
      <c r="X52" s="166">
        <f t="shared" si="17"/>
        <v>25.160347966770651</v>
      </c>
      <c r="AB52" s="12">
        <v>46</v>
      </c>
      <c r="AC52" s="18" t="s">
        <v>181</v>
      </c>
      <c r="AD52" s="18"/>
    </row>
    <row r="53" spans="8:34" x14ac:dyDescent="0.2">
      <c r="I53" s="19" t="s">
        <v>173</v>
      </c>
      <c r="K53" s="155"/>
      <c r="L53" s="155"/>
      <c r="M53" s="155"/>
      <c r="N53" s="155"/>
      <c r="O53" s="155"/>
      <c r="P53" s="155"/>
      <c r="Q53" s="155"/>
      <c r="R53" s="155"/>
      <c r="S53" s="155"/>
      <c r="T53" s="155"/>
      <c r="U53" s="155"/>
      <c r="V53" s="155"/>
      <c r="W53" s="155"/>
      <c r="X53" s="155"/>
      <c r="AB53" s="12">
        <v>47</v>
      </c>
      <c r="AC53" s="18"/>
      <c r="AD53" s="18"/>
    </row>
    <row r="54" spans="8:34" x14ac:dyDescent="0.2">
      <c r="J54" s="160" t="s">
        <v>62</v>
      </c>
      <c r="K54" s="155" cm="1">
        <f t="array" ref="K54:X54">_xlfn.ANCHORARRAY(K82)*solar_selected.module.capacity*1000/forecast_solar.module.efficiency/1000000</f>
        <v>9.8471595594744041</v>
      </c>
      <c r="L54" s="155">
        <v>9.6701179575607252</v>
      </c>
      <c r="M54" s="155">
        <v>9.5609712419041646</v>
      </c>
      <c r="N54" s="155">
        <v>9.4876003524377364</v>
      </c>
      <c r="O54" s="155">
        <v>9.4361928896426459</v>
      </c>
      <c r="P54" s="155">
        <v>9.3995756093518583</v>
      </c>
      <c r="Q54" s="155">
        <v>9.3735593333019764</v>
      </c>
      <c r="R54" s="155">
        <v>9.3554917452018334</v>
      </c>
      <c r="S54" s="155">
        <v>9.3435910661485622</v>
      </c>
      <c r="T54" s="155">
        <v>9.3366047137125285</v>
      </c>
      <c r="U54" s="155">
        <v>9.3336198800677934</v>
      </c>
      <c r="V54" s="155">
        <v>9.3339516455212177</v>
      </c>
      <c r="W54" s="155">
        <v>9.3370734901291872</v>
      </c>
      <c r="X54" s="155">
        <v>9.3425723191807073</v>
      </c>
      <c r="Y54" s="155"/>
      <c r="Z54" s="155"/>
      <c r="AA54" s="155"/>
      <c r="AB54" s="12">
        <v>48</v>
      </c>
      <c r="AC54" s="18" t="s">
        <v>127</v>
      </c>
      <c r="AD54" s="18"/>
      <c r="AE54" s="155"/>
      <c r="AF54" s="155"/>
      <c r="AG54" s="155"/>
      <c r="AH54" s="155"/>
    </row>
    <row r="55" spans="8:34" x14ac:dyDescent="0.2">
      <c r="J55" s="160" t="s">
        <v>128</v>
      </c>
      <c r="K55" s="155" cm="1">
        <f t="array" ref="K55:X55">_xlfn.ANCHORARRAY(K83)*_xlfn.ANCHORARRAY(K84)/1000/1000</f>
        <v>13.952885174935167</v>
      </c>
      <c r="L55" s="155">
        <v>13.976720691947186</v>
      </c>
      <c r="M55" s="155">
        <v>14.096003411338216</v>
      </c>
      <c r="N55" s="155">
        <v>14.268254146844823</v>
      </c>
      <c r="O55" s="155">
        <v>14.475438660237366</v>
      </c>
      <c r="P55" s="155">
        <v>14.708339259853481</v>
      </c>
      <c r="Q55" s="155">
        <v>14.961681154782209</v>
      </c>
      <c r="R55" s="155">
        <v>15.232211177318863</v>
      </c>
      <c r="S55" s="155">
        <v>15.51781694744122</v>
      </c>
      <c r="T55" s="155">
        <v>15.817077540796346</v>
      </c>
      <c r="U55" s="155">
        <v>16.129015185316913</v>
      </c>
      <c r="V55" s="155">
        <v>16.452949215374765</v>
      </c>
      <c r="W55" s="155">
        <v>16.788405759172846</v>
      </c>
      <c r="X55" s="155">
        <v>17.135059546036718</v>
      </c>
      <c r="Y55" s="155"/>
      <c r="Z55" s="155"/>
      <c r="AA55" s="155"/>
      <c r="AB55" s="12">
        <v>49</v>
      </c>
      <c r="AC55" s="18" t="s">
        <v>129</v>
      </c>
      <c r="AD55" s="18"/>
      <c r="AE55" s="155"/>
      <c r="AF55" s="155"/>
      <c r="AG55" s="155"/>
      <c r="AH55" s="155"/>
    </row>
    <row r="56" spans="8:34" x14ac:dyDescent="0.2">
      <c r="I56" s="19" t="s">
        <v>175</v>
      </c>
      <c r="K56" s="155"/>
      <c r="L56" s="155"/>
      <c r="M56" s="155"/>
      <c r="N56" s="155"/>
      <c r="O56" s="155"/>
      <c r="P56" s="155"/>
      <c r="Q56" s="155"/>
      <c r="R56" s="155"/>
      <c r="S56" s="155"/>
      <c r="T56" s="155"/>
      <c r="U56" s="155"/>
      <c r="V56" s="155"/>
      <c r="W56" s="155"/>
      <c r="X56" s="155"/>
      <c r="AB56" s="12">
        <v>50</v>
      </c>
      <c r="AC56" s="18"/>
      <c r="AD56" s="18"/>
    </row>
    <row r="57" spans="8:34" x14ac:dyDescent="0.2">
      <c r="J57" s="160" t="s">
        <v>62</v>
      </c>
      <c r="K57" s="155" cm="1">
        <f t="array" ref="K57:X57">_xlfn.ANCHORARRAY(K97)*K24:X24/1000000</f>
        <v>4.2120000000000005E-2</v>
      </c>
      <c r="L57" s="155">
        <v>3.91932326283988E-2</v>
      </c>
      <c r="M57" s="155">
        <v>3.6646779661016947E-2</v>
      </c>
      <c r="N57" s="155">
        <v>3.4411034482758625E-2</v>
      </c>
      <c r="O57" s="155">
        <v>3.24324E-2</v>
      </c>
      <c r="P57" s="155">
        <v>3.0668936170212765E-2</v>
      </c>
      <c r="Q57" s="155">
        <v>2.9087354260089678E-2</v>
      </c>
      <c r="R57" s="155">
        <v>2.7660895522388054E-2</v>
      </c>
      <c r="S57" s="155">
        <v>2.6367804878048778E-2</v>
      </c>
      <c r="T57" s="155">
        <v>2.5190213592233005E-2</v>
      </c>
      <c r="U57" s="155">
        <v>2.4113308550185869E-2</v>
      </c>
      <c r="V57" s="155">
        <v>2.3124705882352936E-2</v>
      </c>
      <c r="W57" s="155">
        <v>2.2213972602739714E-2</v>
      </c>
      <c r="X57" s="155">
        <v>2.0591999999999999E-2</v>
      </c>
      <c r="AB57" s="12">
        <v>51</v>
      </c>
      <c r="AC57" s="18" t="s">
        <v>63</v>
      </c>
      <c r="AD57" s="18"/>
    </row>
    <row r="58" spans="8:34" x14ac:dyDescent="0.2">
      <c r="J58" s="160" t="s">
        <v>64</v>
      </c>
      <c r="K58" s="155" cm="1">
        <f t="array" ref="K58:X58">_xlfn.ANCHORARRAY(K98)*_xlfn.ANCHORARRAY(K99)/1000/1000</f>
        <v>11.138981795478111</v>
      </c>
      <c r="L58" s="155">
        <v>10.572767609628121</v>
      </c>
      <c r="M58" s="155">
        <v>10.084024398977087</v>
      </c>
      <c r="N58" s="155">
        <v>9.6586464497322631</v>
      </c>
      <c r="O58" s="155">
        <v>9.2857737477272675</v>
      </c>
      <c r="P58" s="155">
        <v>8.9569096040793745</v>
      </c>
      <c r="Q58" s="155">
        <v>8.6653113030037456</v>
      </c>
      <c r="R58" s="155">
        <v>8.4055600477702264</v>
      </c>
      <c r="S58" s="155">
        <v>8.1732515320456756</v>
      </c>
      <c r="T58" s="155">
        <v>7.964769426558969</v>
      </c>
      <c r="U58" s="155">
        <v>7.7771169681477108</v>
      </c>
      <c r="V58" s="155">
        <v>7.607789976536707</v>
      </c>
      <c r="W58" s="155">
        <v>7.4546798778552832</v>
      </c>
      <c r="X58" s="155">
        <v>7.0489067571434427</v>
      </c>
      <c r="AB58" s="12">
        <v>52</v>
      </c>
      <c r="AC58" s="18" t="s">
        <v>65</v>
      </c>
      <c r="AD58" s="18"/>
    </row>
    <row r="59" spans="8:34" x14ac:dyDescent="0.2">
      <c r="H59" s="19" t="s">
        <v>182</v>
      </c>
      <c r="K59" s="166">
        <f>SUM(K60:K65)</f>
        <v>103.55673629398072</v>
      </c>
      <c r="L59" s="166">
        <f t="shared" ref="L59:X59" si="18">SUM(L60:L65)</f>
        <v>95.398301416355935</v>
      </c>
      <c r="M59" s="166">
        <f t="shared" si="18"/>
        <v>89.856764616237172</v>
      </c>
      <c r="N59" s="166">
        <f t="shared" si="18"/>
        <v>85.599297089943988</v>
      </c>
      <c r="O59" s="166">
        <f t="shared" si="18"/>
        <v>82.132113830103918</v>
      </c>
      <c r="P59" s="166">
        <f t="shared" si="18"/>
        <v>79.208937296108999</v>
      </c>
      <c r="Q59" s="166">
        <f t="shared" si="18"/>
        <v>76.686509044924748</v>
      </c>
      <c r="R59" s="166">
        <f t="shared" si="18"/>
        <v>74.473071935923343</v>
      </c>
      <c r="S59" s="166">
        <f t="shared" si="18"/>
        <v>72.505831014716236</v>
      </c>
      <c r="T59" s="166">
        <f t="shared" si="18"/>
        <v>70.739684426391094</v>
      </c>
      <c r="U59" s="166">
        <f t="shared" si="18"/>
        <v>69.141025320662649</v>
      </c>
      <c r="V59" s="166">
        <f t="shared" si="18"/>
        <v>67.684078561176776</v>
      </c>
      <c r="W59" s="166">
        <f t="shared" si="18"/>
        <v>66.3486102163738</v>
      </c>
      <c r="X59" s="166">
        <f t="shared" si="18"/>
        <v>64.736692634286527</v>
      </c>
      <c r="AB59" s="12">
        <v>53</v>
      </c>
      <c r="AC59" s="18"/>
      <c r="AD59" s="18"/>
    </row>
    <row r="60" spans="8:34" x14ac:dyDescent="0.2">
      <c r="H60" s="154"/>
      <c r="J60" s="160" t="s">
        <v>131</v>
      </c>
      <c r="K60" s="155">
        <f>13%*SUM(K40,K44,K46,K55,K58)</f>
        <v>11.621982416064849</v>
      </c>
      <c r="L60" s="155">
        <f t="shared" ref="L60:X60" si="19">13%*SUM(L40,L44,L46,L55,L58)</f>
        <v>11.05405168535351</v>
      </c>
      <c r="M60" s="155">
        <f t="shared" si="19"/>
        <v>10.716291617704616</v>
      </c>
      <c r="N60" s="155">
        <f t="shared" si="19"/>
        <v>10.481055928600828</v>
      </c>
      <c r="O60" s="155">
        <f t="shared" si="19"/>
        <v>10.305587038843409</v>
      </c>
      <c r="P60" s="155">
        <f t="shared" si="19"/>
        <v>10.169907762435621</v>
      </c>
      <c r="Q60" s="155">
        <f t="shared" si="19"/>
        <v>10.062938776813716</v>
      </c>
      <c r="R60" s="155">
        <f t="shared" si="19"/>
        <v>9.9778427465982027</v>
      </c>
      <c r="S60" s="155">
        <f t="shared" si="19"/>
        <v>9.9100799749839421</v>
      </c>
      <c r="T60" s="155">
        <f t="shared" si="19"/>
        <v>9.8564719659203028</v>
      </c>
      <c r="U60" s="155">
        <f t="shared" si="19"/>
        <v>9.8147021871317808</v>
      </c>
      <c r="V60" s="155">
        <f t="shared" si="19"/>
        <v>9.7830287531969748</v>
      </c>
      <c r="W60" s="155">
        <f t="shared" si="19"/>
        <v>9.7601088783940728</v>
      </c>
      <c r="X60" s="155">
        <f t="shared" si="19"/>
        <v>9.7101643760506384</v>
      </c>
      <c r="AB60" s="12">
        <v>54</v>
      </c>
      <c r="AC60" s="18" t="s">
        <v>68</v>
      </c>
      <c r="AD60" s="18"/>
    </row>
    <row r="61" spans="8:34" x14ac:dyDescent="0.2">
      <c r="H61" s="154"/>
      <c r="J61" s="160" t="s">
        <v>132</v>
      </c>
      <c r="K61" s="155" cm="1">
        <f t="array" ref="K61">INDEX(jurisdictional_inputs,_xlfn.XMATCH("Sales Tax",jurisdictional_inputs_rows),_xlfn.XMATCH(selected.location,jurisdictions))*SUM(K38,K45,K39,K44,K46,K40,K43)</f>
        <v>44.463478793008136</v>
      </c>
      <c r="L61" s="155" cm="1">
        <f t="array" ref="L61">INDEX(jurisdictional_inputs,_xlfn.XMATCH("Sales Tax",jurisdictional_inputs_rows),_xlfn.XMATCH(selected.location,jurisdictions))*SUM(L38,L45,L39,L44,L46,L40,L43)</f>
        <v>40.55449030754388</v>
      </c>
      <c r="M61" s="155" cm="1">
        <f t="array" ref="M61">INDEX(jurisdictional_inputs,_xlfn.XMATCH("Sales Tax",jurisdictional_inputs_rows),_xlfn.XMATCH(selected.location,jurisdictions))*SUM(M38,M45,M39,M44,M46,M40,M43)</f>
        <v>37.876280450895429</v>
      </c>
      <c r="N61" s="155" cm="1">
        <f t="array" ref="N61">INDEX(jurisdictional_inputs,_xlfn.XMATCH("Sales Tax",jurisdictional_inputs_rows),_xlfn.XMATCH(selected.location,jurisdictions))*SUM(N38,N45,N39,N44,N46,N40,N43)</f>
        <v>35.806781605286879</v>
      </c>
      <c r="O61" s="155" cm="1">
        <f t="array" ref="O61">INDEX(jurisdictional_inputs,_xlfn.XMATCH("Sales Tax",jurisdictional_inputs_rows),_xlfn.XMATCH(selected.location,jurisdictions))*SUM(O38,O45,O39,O44,O46,O40,O43)</f>
        <v>34.113436168285162</v>
      </c>
      <c r="P61" s="155" cm="1">
        <f t="array" ref="P61">INDEX(jurisdictional_inputs,_xlfn.XMATCH("Sales Tax",jurisdictional_inputs_rows),_xlfn.XMATCH(selected.location,jurisdictions))*SUM(P38,P45,P39,P44,P46,P40,P43)</f>
        <v>32.67963077674105</v>
      </c>
      <c r="Q61" s="155" cm="1">
        <f t="array" ref="Q61">INDEX(jurisdictional_inputs,_xlfn.XMATCH("Sales Tax",jurisdictional_inputs_rows),_xlfn.XMATCH(selected.location,jurisdictions))*SUM(Q38,Q45,Q39,Q44,Q46,Q40,Q43)</f>
        <v>31.437281532140865</v>
      </c>
      <c r="R61" s="155" cm="1">
        <f t="array" ref="R61">INDEX(jurisdictional_inputs,_xlfn.XMATCH("Sales Tax",jurisdictional_inputs_rows),_xlfn.XMATCH(selected.location,jurisdictions))*SUM(R38,R45,R39,R44,R46,R40,R43)</f>
        <v>30.34266090182027</v>
      </c>
      <c r="S61" s="155" cm="1">
        <f t="array" ref="S61">INDEX(jurisdictional_inputs,_xlfn.XMATCH("Sales Tax",jurisdictional_inputs_rows),_xlfn.XMATCH(selected.location,jurisdictions))*SUM(S38,S45,S39,S44,S46,S40,S43)</f>
        <v>29.365778991132998</v>
      </c>
      <c r="T61" s="155" cm="1">
        <f t="array" ref="T61">INDEX(jurisdictional_inputs,_xlfn.XMATCH("Sales Tax",jurisdictional_inputs_rows),_xlfn.XMATCH(selected.location,jurisdictions))*SUM(T38,T45,T39,T44,T46,T40,T43)</f>
        <v>28.485057844935625</v>
      </c>
      <c r="U61" s="155" cm="1">
        <f t="array" ref="U61">INDEX(jurisdictional_inputs,_xlfn.XMATCH("Sales Tax",jurisdictional_inputs_rows),_xlfn.XMATCH(selected.location,jurisdictions))*SUM(U38,U45,U39,U44,U46,U40,U43)</f>
        <v>27.684394943783378</v>
      </c>
      <c r="V61" s="155" cm="1">
        <f t="array" ref="V61">INDEX(jurisdictional_inputs,_xlfn.XMATCH("Sales Tax",jurisdictional_inputs_rows),_xlfn.XMATCH(selected.location,jurisdictions))*SUM(V38,V45,V39,V44,V46,V40,V43)</f>
        <v>26.951424045748514</v>
      </c>
      <c r="W61" s="155" cm="1">
        <f t="array" ref="W61">INDEX(jurisdictional_inputs,_xlfn.XMATCH("Sales Tax",jurisdictional_inputs_rows),_xlfn.XMATCH(selected.location,jurisdictions))*SUM(W38,W45,W39,W44,W46,W40,W43)</f>
        <v>26.276425869802566</v>
      </c>
      <c r="X61" s="155" cm="1">
        <f t="array" ref="X61">INDEX(jurisdictional_inputs,_xlfn.XMATCH("Sales Tax",jurisdictional_inputs_rows),_xlfn.XMATCH(selected.location,jurisdictions))*SUM(X38,X45,X39,X44,X46,X40,X43)</f>
        <v>25.473658245157775</v>
      </c>
      <c r="AB61" s="12">
        <v>55</v>
      </c>
      <c r="AC61" s="18" t="s">
        <v>70</v>
      </c>
      <c r="AD61" s="18"/>
    </row>
    <row r="62" spans="8:34" x14ac:dyDescent="0.2">
      <c r="H62" s="154"/>
      <c r="J62" s="160" t="s">
        <v>133</v>
      </c>
      <c r="K62" s="155" cm="1">
        <f t="array" ref="K62:X62">(1549755*USD_to_CAD+(0.02*USD_to_CAD*solar_selected.inverter.capacity*1000*1000+209466*USD_to_CAD))/1000/1000</f>
        <v>4.8869872999999995</v>
      </c>
      <c r="L62" s="155">
        <v>4.8869872999999995</v>
      </c>
      <c r="M62" s="155">
        <v>4.8869872999999995</v>
      </c>
      <c r="N62" s="155">
        <v>4.8869872999999995</v>
      </c>
      <c r="O62" s="155">
        <v>4.8869872999999995</v>
      </c>
      <c r="P62" s="155">
        <v>4.8869872999999995</v>
      </c>
      <c r="Q62" s="155">
        <v>4.8869872999999995</v>
      </c>
      <c r="R62" s="155">
        <v>4.8869872999999995</v>
      </c>
      <c r="S62" s="155">
        <v>4.8869872999999995</v>
      </c>
      <c r="T62" s="155">
        <v>4.8869872999999995</v>
      </c>
      <c r="U62" s="155">
        <v>4.8869872999999995</v>
      </c>
      <c r="V62" s="155">
        <v>4.8869872999999995</v>
      </c>
      <c r="W62" s="155">
        <v>4.8869872999999995</v>
      </c>
      <c r="X62" s="155">
        <v>4.8869872999999995</v>
      </c>
      <c r="AB62" s="12">
        <v>56</v>
      </c>
      <c r="AC62" s="18" t="s">
        <v>68</v>
      </c>
      <c r="AD62" s="18"/>
    </row>
    <row r="63" spans="8:34" x14ac:dyDescent="0.2">
      <c r="H63" s="154"/>
      <c r="J63" s="160" t="s">
        <v>134</v>
      </c>
      <c r="K63" s="155">
        <f>4%*SUM(K38,K40,K43,K44,K45,K46,K62)</f>
        <v>13.629349889848656</v>
      </c>
      <c r="L63" s="155">
        <f t="shared" ref="L63:X63" si="20">4%*SUM(L38,L40,L43,L44,L45,L46,L62)</f>
        <v>12.457082677958137</v>
      </c>
      <c r="M63" s="155">
        <f t="shared" si="20"/>
        <v>11.65085857143845</v>
      </c>
      <c r="N63" s="155">
        <f t="shared" si="20"/>
        <v>11.026747707054467</v>
      </c>
      <c r="O63" s="155">
        <f t="shared" si="20"/>
        <v>10.515536658080993</v>
      </c>
      <c r="P63" s="155">
        <f t="shared" si="20"/>
        <v>10.082387916874049</v>
      </c>
      <c r="Q63" s="155">
        <f t="shared" si="20"/>
        <v>9.706909240755623</v>
      </c>
      <c r="R63" s="155">
        <f t="shared" si="20"/>
        <v>9.3759782742401505</v>
      </c>
      <c r="S63" s="155">
        <f t="shared" si="20"/>
        <v>9.0805816783667943</v>
      </c>
      <c r="T63" s="155">
        <f t="shared" si="20"/>
        <v>8.8142264191488522</v>
      </c>
      <c r="U63" s="155">
        <f t="shared" si="20"/>
        <v>8.5720622513210909</v>
      </c>
      <c r="V63" s="155">
        <f t="shared" si="20"/>
        <v>8.3503612448209807</v>
      </c>
      <c r="W63" s="155">
        <f t="shared" si="20"/>
        <v>8.1461913775137109</v>
      </c>
      <c r="X63" s="155">
        <f t="shared" si="20"/>
        <v>7.9024467053208474</v>
      </c>
      <c r="AB63" s="12">
        <v>57</v>
      </c>
      <c r="AC63" s="18" t="s">
        <v>135</v>
      </c>
      <c r="AD63" s="18"/>
    </row>
    <row r="64" spans="8:34" x14ac:dyDescent="0.2">
      <c r="H64" s="154"/>
      <c r="J64" s="160" t="s">
        <v>136</v>
      </c>
      <c r="K64" s="155">
        <f>3%*SUM(K38,K45,K43,K39,K44,K40,K46,K62)</f>
        <v>10.407412417386492</v>
      </c>
      <c r="L64" s="155">
        <f t="shared" ref="L64:X64" si="21">3%*SUM(L38,L45,L43,L39,L44,L40,L46,L62)</f>
        <v>9.5053381515101236</v>
      </c>
      <c r="M64" s="155">
        <f t="shared" si="21"/>
        <v>8.8872897230527901</v>
      </c>
      <c r="N64" s="155">
        <f t="shared" si="21"/>
        <v>8.4097130663738948</v>
      </c>
      <c r="O64" s="155">
        <f t="shared" si="21"/>
        <v>8.0189410424504217</v>
      </c>
      <c r="P64" s="155">
        <f t="shared" si="21"/>
        <v>7.6880628751710116</v>
      </c>
      <c r="Q64" s="155">
        <f t="shared" si="21"/>
        <v>7.4013668956478913</v>
      </c>
      <c r="R64" s="155">
        <f t="shared" si="21"/>
        <v>7.1487621348046773</v>
      </c>
      <c r="S64" s="155">
        <f t="shared" si="21"/>
        <v>6.9233278477229998</v>
      </c>
      <c r="T64" s="155">
        <f t="shared" si="21"/>
        <v>6.7200845062928343</v>
      </c>
      <c r="U64" s="155">
        <f t="shared" si="21"/>
        <v>6.5353161444884718</v>
      </c>
      <c r="V64" s="155">
        <f t="shared" si="21"/>
        <v>6.3661690141727307</v>
      </c>
      <c r="W64" s="155">
        <f t="shared" si="21"/>
        <v>6.2104002043390523</v>
      </c>
      <c r="X64" s="155">
        <f t="shared" si="21"/>
        <v>6.0251461371133308</v>
      </c>
      <c r="AB64" s="12">
        <v>58</v>
      </c>
      <c r="AC64" s="18" t="s">
        <v>137</v>
      </c>
      <c r="AD64" s="18"/>
    </row>
    <row r="65" spans="7:30" x14ac:dyDescent="0.2">
      <c r="H65" s="154"/>
      <c r="J65" s="160" t="s">
        <v>138</v>
      </c>
      <c r="K65" s="155">
        <f>5%*SUM(K38,K45,K39,K40,K44,K46,K62,K43,K63,K64)</f>
        <v>18.547525477672576</v>
      </c>
      <c r="L65" s="155">
        <f t="shared" ref="L65:X65" si="22">5%*SUM(L38,L45,L39,L40,L44,L46,L62,L43,L63,L64)</f>
        <v>16.940351293990286</v>
      </c>
      <c r="M65" s="155">
        <f t="shared" si="22"/>
        <v>15.83905695314588</v>
      </c>
      <c r="N65" s="155">
        <f t="shared" si="22"/>
        <v>14.988011482627911</v>
      </c>
      <c r="O65" s="155">
        <f t="shared" si="22"/>
        <v>14.291625622443938</v>
      </c>
      <c r="P65" s="155">
        <f t="shared" si="22"/>
        <v>13.70196066488727</v>
      </c>
      <c r="Q65" s="155">
        <f t="shared" si="22"/>
        <v>13.191025299566661</v>
      </c>
      <c r="R65" s="155">
        <f t="shared" si="22"/>
        <v>12.740840578460038</v>
      </c>
      <c r="S65" s="155">
        <f t="shared" si="22"/>
        <v>12.339075222509488</v>
      </c>
      <c r="T65" s="155">
        <f t="shared" si="22"/>
        <v>11.976856390093477</v>
      </c>
      <c r="U65" s="155">
        <f t="shared" si="22"/>
        <v>11.647562493937929</v>
      </c>
      <c r="V65" s="155">
        <f t="shared" si="22"/>
        <v>11.346108203237575</v>
      </c>
      <c r="W65" s="155">
        <f t="shared" si="22"/>
        <v>11.068496586324393</v>
      </c>
      <c r="X65" s="155">
        <f t="shared" si="22"/>
        <v>10.73828987064393</v>
      </c>
      <c r="AB65" s="12">
        <v>59</v>
      </c>
      <c r="AC65" s="18" t="s">
        <v>139</v>
      </c>
      <c r="AD65" s="18"/>
    </row>
    <row r="66" spans="7:30" x14ac:dyDescent="0.2">
      <c r="G66" s="19" t="str">
        <f>"OPEX (2022$M/year) - "&amp;selected.location</f>
        <v>OPEX (2022$M/year) - Ontario</v>
      </c>
      <c r="K66" s="166">
        <f>SUM(K67:K70)</f>
        <v>6.6622339285714292</v>
      </c>
      <c r="L66" s="166">
        <f t="shared" ref="L66:X66" si="23">SUM(L67:L70)</f>
        <v>6.5535061899919231</v>
      </c>
      <c r="M66" s="166">
        <f t="shared" si="23"/>
        <v>6.4823396511094531</v>
      </c>
      <c r="N66" s="166">
        <f t="shared" si="23"/>
        <v>6.4264300732634512</v>
      </c>
      <c r="O66" s="166">
        <f t="shared" si="23"/>
        <v>6.3787854400584214</v>
      </c>
      <c r="P66" s="166">
        <f t="shared" si="23"/>
        <v>6.3362897395132718</v>
      </c>
      <c r="Q66" s="166">
        <f t="shared" si="23"/>
        <v>6.2972795597543856</v>
      </c>
      <c r="R66" s="166">
        <f t="shared" si="23"/>
        <v>6.2607609987827804</v>
      </c>
      <c r="S66" s="166">
        <f t="shared" si="23"/>
        <v>6.2260921550173824</v>
      </c>
      <c r="T66" s="166">
        <f t="shared" si="23"/>
        <v>6.2239346261462378</v>
      </c>
      <c r="U66" s="166">
        <f t="shared" si="23"/>
        <v>6.2230596780133292</v>
      </c>
      <c r="V66" s="166">
        <f t="shared" si="23"/>
        <v>6.223237335362322</v>
      </c>
      <c r="W66" s="166">
        <f t="shared" si="23"/>
        <v>6.2242929372394951</v>
      </c>
      <c r="X66" s="166">
        <f t="shared" si="23"/>
        <v>6.226090703255398</v>
      </c>
      <c r="AB66" s="12">
        <v>60</v>
      </c>
      <c r="AC66" s="18"/>
      <c r="AD66" s="18"/>
    </row>
    <row r="67" spans="7:30" x14ac:dyDescent="0.2">
      <c r="I67" s="154"/>
      <c r="J67" s="160" t="s">
        <v>183</v>
      </c>
      <c r="K67" s="155">
        <f>SUM(K86:K87)*K14*1000/1000000</f>
        <v>1.4025000000000003</v>
      </c>
      <c r="L67" s="155">
        <f t="shared" ref="L67:X67" si="24">SUM(L86:L87)*L14*1000/1000000</f>
        <v>1.371353147907225</v>
      </c>
      <c r="M67" s="155">
        <f t="shared" si="24"/>
        <v>1.3400064229911453</v>
      </c>
      <c r="N67" s="155">
        <f t="shared" si="24"/>
        <v>1.3084564890940529</v>
      </c>
      <c r="O67" s="155">
        <f t="shared" si="24"/>
        <v>1.2767001906727096</v>
      </c>
      <c r="P67" s="155">
        <f t="shared" si="24"/>
        <v>1.2447345407388366</v>
      </c>
      <c r="Q67" s="155">
        <f t="shared" si="24"/>
        <v>1.2125567097531014</v>
      </c>
      <c r="R67" s="155">
        <f t="shared" si="24"/>
        <v>1.1801640153858255</v>
      </c>
      <c r="S67" s="155">
        <f t="shared" si="24"/>
        <v>1.1475539130664816</v>
      </c>
      <c r="T67" s="155">
        <f t="shared" si="24"/>
        <v>1.1458245489615424</v>
      </c>
      <c r="U67" s="155">
        <f t="shared" si="24"/>
        <v>1.1440585611766281</v>
      </c>
      <c r="V67" s="155">
        <f t="shared" si="24"/>
        <v>1.1422558802174736</v>
      </c>
      <c r="W67" s="155">
        <f t="shared" si="24"/>
        <v>1.1404164381005577</v>
      </c>
      <c r="X67" s="155">
        <f t="shared" si="24"/>
        <v>1.1385401683122742</v>
      </c>
      <c r="AB67" s="12">
        <v>61</v>
      </c>
      <c r="AC67" s="18" t="s">
        <v>149</v>
      </c>
      <c r="AD67" s="18"/>
    </row>
    <row r="68" spans="7:30" x14ac:dyDescent="0.2">
      <c r="I68" s="154"/>
      <c r="J68" s="160" t="s">
        <v>184</v>
      </c>
      <c r="K68" s="155" cm="1">
        <f t="array" ref="K68:X68">_xlfn.ANCHORARRAY(K102)*K21:X21*1000/1000000</f>
        <v>0.72</v>
      </c>
      <c r="L68" s="155">
        <v>0.62901768494184129</v>
      </c>
      <c r="M68" s="155">
        <v>0.57579644240402073</v>
      </c>
      <c r="N68" s="155">
        <v>0.53803536988368261</v>
      </c>
      <c r="O68" s="155">
        <v>0.50874560652856782</v>
      </c>
      <c r="P68" s="155">
        <v>0.4848141273458621</v>
      </c>
      <c r="Q68" s="155">
        <v>0.46458035000128262</v>
      </c>
      <c r="R68" s="155">
        <v>0.44705305482552404</v>
      </c>
      <c r="S68" s="155">
        <v>0.43159288480804137</v>
      </c>
      <c r="T68" s="155">
        <v>0.41776329147040919</v>
      </c>
      <c r="U68" s="155">
        <v>0.40525290255098562</v>
      </c>
      <c r="V68" s="155">
        <v>0.39383181228770336</v>
      </c>
      <c r="W68" s="155">
        <v>0.38332542771036326</v>
      </c>
      <c r="X68" s="155">
        <v>0.37359803494312394</v>
      </c>
      <c r="AB68" s="12">
        <v>62</v>
      </c>
      <c r="AC68" s="18" t="s">
        <v>76</v>
      </c>
      <c r="AD68" s="18"/>
    </row>
    <row r="69" spans="7:30" x14ac:dyDescent="0.2">
      <c r="I69" s="154"/>
      <c r="J69" s="160" t="s">
        <v>77</v>
      </c>
      <c r="K69" s="155" cm="1">
        <f t="array" ref="K69:X69">(_xlfn.ANCHORARRAY(K88)*_xlfn.ANCHORARRAY(K14)*1000+_xlfn.ANCHORARRAY(K88)*K21:X21*1000)*0.75/1000000</f>
        <v>4.3553571428571427</v>
      </c>
      <c r="L69" s="155">
        <v>4.3682142857142852</v>
      </c>
      <c r="M69" s="155">
        <v>4.3810714285714294</v>
      </c>
      <c r="N69" s="155">
        <v>4.3939285714285727</v>
      </c>
      <c r="O69" s="155">
        <v>4.4067857142857152</v>
      </c>
      <c r="P69" s="155">
        <v>4.4196428571428585</v>
      </c>
      <c r="Q69" s="155">
        <v>4.4325000000000019</v>
      </c>
      <c r="R69" s="155">
        <v>4.4453571428571452</v>
      </c>
      <c r="S69" s="155">
        <v>4.4582142857142877</v>
      </c>
      <c r="T69" s="155">
        <v>4.4710714285714293</v>
      </c>
      <c r="U69" s="155">
        <v>4.4839285714285726</v>
      </c>
      <c r="V69" s="155">
        <v>4.4967857142857168</v>
      </c>
      <c r="W69" s="155">
        <v>4.5096428571428593</v>
      </c>
      <c r="X69" s="155">
        <v>4.5225</v>
      </c>
      <c r="AB69" s="12">
        <v>63</v>
      </c>
      <c r="AC69" s="18"/>
      <c r="AD69" s="18"/>
    </row>
    <row r="70" spans="7:30" x14ac:dyDescent="0.2">
      <c r="I70" s="154"/>
      <c r="J70" s="160" t="s">
        <v>79</v>
      </c>
      <c r="K70" s="155" cm="1">
        <f t="array" ref="K70:X70">_xlfn.ANCHORARRAY(K104)*(_xlfn.ANCHORARRAY(K14)+K21:X21)*0.75*1000/1000000</f>
        <v>0.18437678571428573</v>
      </c>
      <c r="L70" s="155">
        <v>0.18492107142857145</v>
      </c>
      <c r="M70" s="155">
        <v>0.18546535714285717</v>
      </c>
      <c r="N70" s="155">
        <v>0.18600964285714289</v>
      </c>
      <c r="O70" s="155">
        <v>0.18655392857142861</v>
      </c>
      <c r="P70" s="155">
        <v>0.18709821428571435</v>
      </c>
      <c r="Q70" s="155">
        <v>0.18764250000000005</v>
      </c>
      <c r="R70" s="155">
        <v>0.18818678571428579</v>
      </c>
      <c r="S70" s="155">
        <v>0.18873107142857151</v>
      </c>
      <c r="T70" s="155">
        <v>0.18927535714285723</v>
      </c>
      <c r="U70" s="155">
        <v>0.18981964285714292</v>
      </c>
      <c r="V70" s="155">
        <v>0.19036392857142867</v>
      </c>
      <c r="W70" s="155">
        <v>0.19090821428571442</v>
      </c>
      <c r="X70" s="155">
        <v>0.19145250000000003</v>
      </c>
      <c r="AB70" s="12">
        <v>64</v>
      </c>
      <c r="AC70" s="18"/>
      <c r="AD70" s="18"/>
    </row>
    <row r="71" spans="7:30" x14ac:dyDescent="0.2">
      <c r="I71" s="154"/>
      <c r="K71" s="155"/>
      <c r="L71" s="155"/>
      <c r="M71" s="155"/>
      <c r="N71" s="155"/>
      <c r="O71" s="155"/>
      <c r="P71" s="155"/>
      <c r="Q71" s="155"/>
      <c r="R71" s="155"/>
      <c r="S71" s="155"/>
      <c r="T71" s="155"/>
      <c r="U71" s="155"/>
      <c r="V71" s="155"/>
      <c r="W71" s="155"/>
      <c r="X71" s="155"/>
      <c r="AB71" s="12">
        <v>65</v>
      </c>
      <c r="AC71" s="18"/>
      <c r="AD71" s="18"/>
    </row>
    <row r="72" spans="7:30" x14ac:dyDescent="0.2">
      <c r="K72" s="155"/>
      <c r="L72" s="155"/>
      <c r="M72" s="155"/>
      <c r="N72" s="155"/>
      <c r="O72" s="155"/>
      <c r="P72" s="155"/>
      <c r="Q72" s="155"/>
      <c r="R72" s="155"/>
      <c r="S72" s="155"/>
      <c r="T72" s="155"/>
      <c r="U72" s="155"/>
      <c r="V72" s="155"/>
      <c r="W72" s="155"/>
      <c r="X72" s="155"/>
      <c r="AB72" s="12">
        <v>66</v>
      </c>
      <c r="AC72" s="18"/>
      <c r="AD72" s="18"/>
    </row>
    <row r="73" spans="7:30" x14ac:dyDescent="0.2">
      <c r="H73" s="156" t="s">
        <v>185</v>
      </c>
      <c r="K73" s="155"/>
      <c r="L73" s="155"/>
      <c r="M73" s="155"/>
      <c r="N73" s="155"/>
      <c r="O73" s="155"/>
      <c r="P73" s="155"/>
      <c r="Q73" s="155"/>
      <c r="R73" s="155"/>
      <c r="S73" s="155"/>
      <c r="T73" s="155"/>
      <c r="U73" s="155"/>
      <c r="V73" s="155"/>
      <c r="W73" s="155"/>
      <c r="X73" s="155"/>
      <c r="AB73" s="12">
        <v>67</v>
      </c>
      <c r="AC73" s="18"/>
      <c r="AD73" s="18"/>
    </row>
    <row r="74" spans="7:30" x14ac:dyDescent="0.2">
      <c r="I74" s="19" t="s">
        <v>82</v>
      </c>
      <c r="K74" s="155"/>
      <c r="L74" s="155"/>
      <c r="M74" s="155"/>
      <c r="N74" s="155"/>
      <c r="O74" s="155"/>
      <c r="P74" s="155"/>
      <c r="Q74" s="155"/>
      <c r="R74" s="155"/>
      <c r="S74" s="155"/>
      <c r="T74" s="155"/>
      <c r="U74" s="155"/>
      <c r="V74" s="155"/>
      <c r="W74" s="155"/>
      <c r="X74" s="155"/>
      <c r="AB74" s="12">
        <v>68</v>
      </c>
      <c r="AC74" s="18"/>
      <c r="AD74" s="18"/>
    </row>
    <row r="75" spans="7:30" x14ac:dyDescent="0.2">
      <c r="J75" s="160" t="s">
        <v>154</v>
      </c>
      <c r="K75" s="155" cm="1">
        <f t="array" ref="K75:X75">_xlfn.ANCHORARRAY(Solar.Costs!K48)</f>
        <v>0.46</v>
      </c>
      <c r="L75" s="155">
        <v>0.40306291016829021</v>
      </c>
      <c r="M75" s="155">
        <v>0.36975684771654815</v>
      </c>
      <c r="N75" s="155">
        <v>0.34612582033658046</v>
      </c>
      <c r="O75" s="155">
        <v>0.32779617147862755</v>
      </c>
      <c r="P75" s="155">
        <v>0.31281975788483835</v>
      </c>
      <c r="Q75" s="155">
        <v>0.3001573806133136</v>
      </c>
      <c r="R75" s="155">
        <v>0.28918873050487065</v>
      </c>
      <c r="S75" s="155">
        <v>0.27951369543309623</v>
      </c>
      <c r="T75" s="155">
        <v>0.27085908164691769</v>
      </c>
      <c r="U75" s="155">
        <v>0.26303003116299101</v>
      </c>
      <c r="V75" s="155">
        <v>0.25588266805312859</v>
      </c>
      <c r="W75" s="155">
        <v>0.24930773135137377</v>
      </c>
      <c r="X75" s="155">
        <v>0.24322029078160379</v>
      </c>
      <c r="AB75" s="12">
        <v>69</v>
      </c>
      <c r="AC75" s="18" t="s">
        <v>116</v>
      </c>
      <c r="AD75" s="18"/>
    </row>
    <row r="76" spans="7:30" x14ac:dyDescent="0.2">
      <c r="J76" s="160" t="s">
        <v>155</v>
      </c>
      <c r="K76" s="155" cm="1">
        <f t="array" ref="K76:X76">_xlfn.ANCHORARRAY(Solar.Costs!K49)</f>
        <v>6.1800000000000001E-2</v>
      </c>
      <c r="L76" s="155">
        <v>5.4175381013840604E-2</v>
      </c>
      <c r="M76" s="155">
        <v>4.9715264824650794E-2</v>
      </c>
      <c r="N76" s="155">
        <v>4.6550762027681207E-2</v>
      </c>
      <c r="O76" s="155">
        <v>4.40961829632249E-2</v>
      </c>
      <c r="P76" s="155">
        <v>4.2090645838491397E-2</v>
      </c>
      <c r="Q76" s="155">
        <v>4.0394988360391557E-2</v>
      </c>
      <c r="R76" s="155">
        <v>3.892614304152181E-2</v>
      </c>
      <c r="S76" s="155">
        <v>3.7630529649301588E-2</v>
      </c>
      <c r="T76" s="155">
        <v>3.6471563977065496E-2</v>
      </c>
      <c r="U76" s="155">
        <v>3.5423151999217924E-2</v>
      </c>
      <c r="V76" s="155">
        <v>3.4466026852331993E-2</v>
      </c>
      <c r="W76" s="155">
        <v>3.35855570679231E-2</v>
      </c>
      <c r="X76" s="155">
        <v>3.277036937423216E-2</v>
      </c>
      <c r="AB76" s="12">
        <v>70</v>
      </c>
      <c r="AC76" s="18" t="s">
        <v>116</v>
      </c>
      <c r="AD76" s="18"/>
    </row>
    <row r="77" spans="7:30" x14ac:dyDescent="0.2">
      <c r="J77" s="160" t="s">
        <v>156</v>
      </c>
      <c r="K77" s="158" cm="1">
        <f t="array" ref="K77:X77">_xlfn.ANCHORARRAY(Solar.Costs!K50)</f>
        <v>38.394409677419397</v>
      </c>
      <c r="L77" s="158">
        <v>36.426949416696985</v>
      </c>
      <c r="M77" s="158">
        <v>35.276058942515313</v>
      </c>
      <c r="N77" s="158">
        <v>34.45948915597458</v>
      </c>
      <c r="O77" s="158">
        <v>33.826108422473624</v>
      </c>
      <c r="P77" s="158">
        <v>33.308598681792901</v>
      </c>
      <c r="Q77" s="158">
        <v>32.871050430527603</v>
      </c>
      <c r="R77" s="158">
        <v>32.492028895252169</v>
      </c>
      <c r="S77" s="158">
        <v>32.157708207611222</v>
      </c>
      <c r="T77" s="158">
        <v>31.858648161751209</v>
      </c>
      <c r="U77" s="158">
        <v>31.588115443063913</v>
      </c>
      <c r="V77" s="158">
        <v>31.34113842107049</v>
      </c>
      <c r="W77" s="158">
        <v>31.113941584777965</v>
      </c>
      <c r="X77" s="158">
        <v>30.903590169805199</v>
      </c>
      <c r="AB77" s="12">
        <v>71</v>
      </c>
      <c r="AC77" s="18" t="s">
        <v>116</v>
      </c>
      <c r="AD77" s="18"/>
    </row>
    <row r="78" spans="7:30" x14ac:dyDescent="0.2">
      <c r="J78" s="160" t="s">
        <v>157</v>
      </c>
      <c r="K78" s="158" cm="1">
        <f t="array" ref="K78:X78">_xlfn.ANCHORARRAY(Solar.Costs!K51)</f>
        <v>15.375007142857276</v>
      </c>
      <c r="L78" s="158">
        <v>14.717725377840013</v>
      </c>
      <c r="M78" s="158">
        <v>14.333240192897097</v>
      </c>
      <c r="N78" s="158">
        <v>14.060443612822748</v>
      </c>
      <c r="O78" s="158">
        <v>13.848846146406538</v>
      </c>
      <c r="P78" s="158">
        <v>13.675958427879834</v>
      </c>
      <c r="Q78" s="158">
        <v>13.529783944657352</v>
      </c>
      <c r="R78" s="158">
        <v>13.403161847805485</v>
      </c>
      <c r="S78" s="158">
        <v>13.291473242936922</v>
      </c>
      <c r="T78" s="158">
        <v>13.191564381389274</v>
      </c>
      <c r="U78" s="158">
        <v>13.101185822602824</v>
      </c>
      <c r="V78" s="158">
        <v>13.018676662862569</v>
      </c>
      <c r="W78" s="158">
        <v>12.942775593577514</v>
      </c>
      <c r="X78" s="158">
        <v>12.87250217964009</v>
      </c>
      <c r="AB78" s="12">
        <v>72</v>
      </c>
      <c r="AC78" s="18" t="s">
        <v>116</v>
      </c>
      <c r="AD78" s="18"/>
    </row>
    <row r="79" spans="7:30" x14ac:dyDescent="0.2">
      <c r="J79" s="160" t="s">
        <v>158</v>
      </c>
      <c r="K79" s="159" cm="1">
        <f t="array" ref="K79:X79">_xlfn.ANCHORARRAY(Solar.Costs!K52)</f>
        <v>67080.650000000591</v>
      </c>
      <c r="L79" s="159">
        <v>64212.444099728171</v>
      </c>
      <c r="M79" s="159">
        <v>62534.651203721653</v>
      </c>
      <c r="N79" s="159">
        <v>61344.238199455765</v>
      </c>
      <c r="O79" s="159">
        <v>60420.882138236375</v>
      </c>
      <c r="P79" s="159">
        <v>59666.445303449247</v>
      </c>
      <c r="Q79" s="159">
        <v>59028.578048396179</v>
      </c>
      <c r="R79" s="159">
        <v>58476.03229918336</v>
      </c>
      <c r="S79" s="159">
        <v>57988.652407442729</v>
      </c>
      <c r="T79" s="159">
        <v>57552.676237963977</v>
      </c>
      <c r="U79" s="159">
        <v>57158.287819836158</v>
      </c>
      <c r="V79" s="159">
        <v>56798.239403176842</v>
      </c>
      <c r="W79" s="159">
        <v>56467.026966825935</v>
      </c>
      <c r="X79" s="159">
        <v>56160.372148123774</v>
      </c>
      <c r="AB79" s="12">
        <v>73</v>
      </c>
      <c r="AC79" s="18" t="s">
        <v>116</v>
      </c>
      <c r="AD79" s="18"/>
    </row>
    <row r="80" spans="7:30" x14ac:dyDescent="0.2">
      <c r="J80" s="160" t="s">
        <v>159</v>
      </c>
      <c r="K80" s="164" cm="1">
        <f t="array" ref="K80:X80">_xlfn.ANCHORARRAY(Solar.Costs!K53)</f>
        <v>0.73999999999999988</v>
      </c>
      <c r="L80" s="164">
        <v>0.73999999999999988</v>
      </c>
      <c r="M80" s="164">
        <v>0.73999999999999988</v>
      </c>
      <c r="N80" s="164">
        <v>0.73999999999999988</v>
      </c>
      <c r="O80" s="164">
        <v>0.73999999999999988</v>
      </c>
      <c r="P80" s="164">
        <v>0.73999999999999988</v>
      </c>
      <c r="Q80" s="164">
        <v>0.73999999999999988</v>
      </c>
      <c r="R80" s="164">
        <v>0.73999999999999988</v>
      </c>
      <c r="S80" s="164">
        <v>0.73999999999999988</v>
      </c>
      <c r="T80" s="164">
        <v>0.73999999999999988</v>
      </c>
      <c r="U80" s="164">
        <v>0.73999999999999988</v>
      </c>
      <c r="V80" s="164">
        <v>0.73999999999999988</v>
      </c>
      <c r="W80" s="164">
        <v>0.73999999999999988</v>
      </c>
      <c r="X80" s="164">
        <v>0.73999999999999988</v>
      </c>
      <c r="AB80" s="12">
        <v>74</v>
      </c>
      <c r="AC80" s="18" t="s">
        <v>116</v>
      </c>
      <c r="AD80" s="18"/>
    </row>
    <row r="81" spans="8:30" x14ac:dyDescent="0.2">
      <c r="J81" s="160" t="s">
        <v>160</v>
      </c>
      <c r="K81" s="158" cm="1">
        <f t="array" ref="K81:X81">Solar.Costs!K54:X54</f>
        <v>1.7</v>
      </c>
      <c r="L81" s="158">
        <v>1.7</v>
      </c>
      <c r="M81" s="158">
        <v>1.7</v>
      </c>
      <c r="N81" s="158">
        <v>1.7</v>
      </c>
      <c r="O81" s="158">
        <v>1.7</v>
      </c>
      <c r="P81" s="158">
        <v>1.7</v>
      </c>
      <c r="Q81" s="158">
        <v>1.7</v>
      </c>
      <c r="R81" s="158">
        <v>1.7</v>
      </c>
      <c r="S81" s="158">
        <v>1.7</v>
      </c>
      <c r="T81" s="158">
        <v>1.7</v>
      </c>
      <c r="U81" s="158">
        <v>1.7</v>
      </c>
      <c r="V81" s="158">
        <v>1.7</v>
      </c>
      <c r="W81" s="158">
        <v>1.7</v>
      </c>
      <c r="X81" s="158">
        <v>1.7</v>
      </c>
      <c r="AB81" s="12">
        <v>75</v>
      </c>
      <c r="AC81" s="18" t="s">
        <v>116</v>
      </c>
      <c r="AD81" s="18"/>
    </row>
    <row r="82" spans="8:30" x14ac:dyDescent="0.2">
      <c r="J82" s="160" t="s">
        <v>88</v>
      </c>
      <c r="K82" s="158" cm="1">
        <f t="array" ref="K82:X82">_xlfn.ANCHORARRAY(Solar.Costs!K55)</f>
        <v>16.090308948275865</v>
      </c>
      <c r="L82" s="158">
        <v>16.090308948275865</v>
      </c>
      <c r="M82" s="158">
        <v>16.090308948275865</v>
      </c>
      <c r="N82" s="158">
        <v>16.090308948275865</v>
      </c>
      <c r="O82" s="158">
        <v>16.090308948275865</v>
      </c>
      <c r="P82" s="158">
        <v>16.090308948275865</v>
      </c>
      <c r="Q82" s="158">
        <v>16.090308948275865</v>
      </c>
      <c r="R82" s="158">
        <v>16.090308948275865</v>
      </c>
      <c r="S82" s="158">
        <v>16.090308948275865</v>
      </c>
      <c r="T82" s="158">
        <v>16.090308948275865</v>
      </c>
      <c r="U82" s="158">
        <v>16.090308948275865</v>
      </c>
      <c r="V82" s="158">
        <v>16.090308948275865</v>
      </c>
      <c r="W82" s="158">
        <v>16.090308948275865</v>
      </c>
      <c r="X82" s="158">
        <v>16.090308948275865</v>
      </c>
      <c r="AB82" s="12">
        <v>76</v>
      </c>
      <c r="AC82" s="18" t="s">
        <v>116</v>
      </c>
      <c r="AD82" s="18"/>
    </row>
    <row r="83" spans="8:30" x14ac:dyDescent="0.2">
      <c r="J83" s="160" t="s">
        <v>89</v>
      </c>
      <c r="K83" s="273" cm="1">
        <f t="array" ref="K83:X83">_xlfn.ANCHORARRAY(Solar.Costs!K56)</f>
        <v>428395.2355290663</v>
      </c>
      <c r="L83" s="273">
        <v>420693.13846318889</v>
      </c>
      <c r="M83" s="273">
        <v>415944.77090820926</v>
      </c>
      <c r="N83" s="273">
        <v>412752.81090348843</v>
      </c>
      <c r="O83" s="273">
        <v>410516.35764008365</v>
      </c>
      <c r="P83" s="273">
        <v>408923.3430941262</v>
      </c>
      <c r="Q83" s="273">
        <v>407791.51938002213</v>
      </c>
      <c r="R83" s="273">
        <v>407005.49894307746</v>
      </c>
      <c r="S83" s="273">
        <v>406487.76647665509</v>
      </c>
      <c r="T83" s="273">
        <v>406183.82907427556</v>
      </c>
      <c r="U83" s="273">
        <v>406053.9755358487</v>
      </c>
      <c r="V83" s="273">
        <v>406068.40880858095</v>
      </c>
      <c r="W83" s="273">
        <v>406204.22293325717</v>
      </c>
      <c r="X83" s="273">
        <v>406443.44645273307</v>
      </c>
      <c r="AB83" s="12">
        <v>77</v>
      </c>
      <c r="AC83" s="18" t="s">
        <v>116</v>
      </c>
      <c r="AD83" s="18"/>
    </row>
    <row r="84" spans="8:30" x14ac:dyDescent="0.2">
      <c r="J84" s="160" t="s">
        <v>161</v>
      </c>
      <c r="K84" s="158" cm="1">
        <f t="array" ref="K84:X84">_xlfn.ANCHORARRAY(Solar.Costs!K57)</f>
        <v>32.570122209000324</v>
      </c>
      <c r="L84" s="158">
        <v>33.223077378929403</v>
      </c>
      <c r="M84" s="158">
        <v>33.889122780795638</v>
      </c>
      <c r="N84" s="158">
        <v>34.568520843292539</v>
      </c>
      <c r="O84" s="158">
        <v>35.261539256198333</v>
      </c>
      <c r="P84" s="158">
        <v>35.968451075848478</v>
      </c>
      <c r="Q84" s="158">
        <v>36.689534832722636</v>
      </c>
      <c r="R84" s="158">
        <v>37.425074641188552</v>
      </c>
      <c r="S84" s="158">
        <v>38.175360311445978</v>
      </c>
      <c r="T84" s="158">
        <v>38.940687463714873</v>
      </c>
      <c r="U84" s="158">
        <v>39.72135764471281</v>
      </c>
      <c r="V84" s="158">
        <v>40.517678446467436</v>
      </c>
      <c r="W84" s="158">
        <v>41.329963627510892</v>
      </c>
      <c r="X84" s="158">
        <v>42.15853323650385</v>
      </c>
      <c r="AB84" s="12">
        <v>78</v>
      </c>
      <c r="AC84" s="18" t="s">
        <v>116</v>
      </c>
      <c r="AD84" s="18"/>
    </row>
    <row r="85" spans="8:30" x14ac:dyDescent="0.2">
      <c r="I85" s="19" t="s">
        <v>92</v>
      </c>
      <c r="J85" s="160"/>
      <c r="K85" s="158"/>
      <c r="L85" s="158"/>
      <c r="M85" s="158"/>
      <c r="N85" s="158"/>
      <c r="O85" s="158"/>
      <c r="P85" s="158"/>
      <c r="Q85" s="158"/>
      <c r="R85" s="158"/>
      <c r="S85" s="158"/>
      <c r="T85" s="158"/>
      <c r="U85" s="158"/>
      <c r="V85" s="158"/>
      <c r="W85" s="158"/>
      <c r="X85" s="158"/>
      <c r="AB85" s="12">
        <v>79</v>
      </c>
      <c r="AC85" s="18"/>
      <c r="AD85" s="18"/>
    </row>
    <row r="86" spans="8:30" x14ac:dyDescent="0.2">
      <c r="J86" s="160" t="s">
        <v>162</v>
      </c>
      <c r="K86" s="158" cm="1">
        <f t="array" ref="K86:X86">_xlfn.ANCHORARRAY(Solar.Costs!K59)</f>
        <v>9.25</v>
      </c>
      <c r="L86" s="158">
        <v>8.9730799098515153</v>
      </c>
      <c r="M86" s="158">
        <v>8.6970254092661872</v>
      </c>
      <c r="N86" s="158">
        <v>8.421800869755403</v>
      </c>
      <c r="O86" s="158">
        <v>8.147372591702382</v>
      </c>
      <c r="P86" s="158">
        <v>7.8737086755726207</v>
      </c>
      <c r="Q86" s="158">
        <v>7.6007789033073063</v>
      </c>
      <c r="R86" s="158">
        <v>7.3285546289727659</v>
      </c>
      <c r="S86" s="158">
        <v>7.0570086778338847</v>
      </c>
      <c r="T86" s="158">
        <v>7.0103211562624033</v>
      </c>
      <c r="U86" s="158">
        <v>6.9637537725501453</v>
      </c>
      <c r="V86" s="158">
        <v>6.9173045572240133</v>
      </c>
      <c r="W86" s="158">
        <v>6.8709715836255318</v>
      </c>
      <c r="X86" s="158">
        <v>6.8247529667537163</v>
      </c>
      <c r="AB86" s="12">
        <v>80</v>
      </c>
      <c r="AC86" s="18" t="s">
        <v>116</v>
      </c>
      <c r="AD86" s="18"/>
    </row>
    <row r="87" spans="8:30" x14ac:dyDescent="0.2">
      <c r="J87" s="160" t="s">
        <v>163</v>
      </c>
      <c r="K87" s="158" cm="1">
        <f t="array" ref="K87:X87">_xlfn.ANCHORARRAY(Solar.Costs!K60)</f>
        <v>1.25</v>
      </c>
      <c r="L87" s="158">
        <v>1.25</v>
      </c>
      <c r="M87" s="158">
        <v>1.25</v>
      </c>
      <c r="N87" s="158">
        <v>1.25</v>
      </c>
      <c r="O87" s="158">
        <v>1.25</v>
      </c>
      <c r="P87" s="158">
        <v>1.25</v>
      </c>
      <c r="Q87" s="158">
        <v>1.25</v>
      </c>
      <c r="R87" s="158">
        <v>1.25</v>
      </c>
      <c r="S87" s="158">
        <v>1.25</v>
      </c>
      <c r="T87" s="158">
        <v>1.25</v>
      </c>
      <c r="U87" s="158">
        <v>1.25</v>
      </c>
      <c r="V87" s="158">
        <v>1.25</v>
      </c>
      <c r="W87" s="158">
        <v>1.25</v>
      </c>
      <c r="X87" s="158">
        <v>1.25</v>
      </c>
      <c r="AB87" s="12">
        <v>81</v>
      </c>
      <c r="AC87" s="18" t="s">
        <v>116</v>
      </c>
      <c r="AD87" s="18"/>
    </row>
    <row r="88" spans="8:30" x14ac:dyDescent="0.2">
      <c r="J88" s="160" t="s">
        <v>94</v>
      </c>
      <c r="K88" s="158" cm="1">
        <f t="array" ref="K88:X88">_xlfn.ANCHORARRAY(Solar.Costs!K61)</f>
        <v>30</v>
      </c>
      <c r="L88" s="158">
        <v>30</v>
      </c>
      <c r="M88" s="158">
        <v>30</v>
      </c>
      <c r="N88" s="158">
        <v>30</v>
      </c>
      <c r="O88" s="158">
        <v>30</v>
      </c>
      <c r="P88" s="158">
        <v>30</v>
      </c>
      <c r="Q88" s="158">
        <v>30</v>
      </c>
      <c r="R88" s="158">
        <v>30</v>
      </c>
      <c r="S88" s="158">
        <v>30</v>
      </c>
      <c r="T88" s="158">
        <v>30</v>
      </c>
      <c r="U88" s="158">
        <v>30</v>
      </c>
      <c r="V88" s="158">
        <v>30</v>
      </c>
      <c r="W88" s="158">
        <v>30</v>
      </c>
      <c r="X88" s="158">
        <v>30</v>
      </c>
      <c r="AB88" s="12">
        <v>82</v>
      </c>
      <c r="AC88" s="18" t="s">
        <v>116</v>
      </c>
      <c r="AD88" s="18"/>
    </row>
    <row r="89" spans="8:30" x14ac:dyDescent="0.2">
      <c r="J89" s="160" t="s">
        <v>95</v>
      </c>
      <c r="K89" s="158" cm="1">
        <f t="array" ref="K89:X89">_xlfn.ANCHORARRAY(Solar.Costs!K62)</f>
        <v>1.27</v>
      </c>
      <c r="L89" s="158">
        <v>1.27</v>
      </c>
      <c r="M89" s="158">
        <v>1.27</v>
      </c>
      <c r="N89" s="158">
        <v>1.27</v>
      </c>
      <c r="O89" s="158">
        <v>1.27</v>
      </c>
      <c r="P89" s="158">
        <v>1.27</v>
      </c>
      <c r="Q89" s="158">
        <v>1.27</v>
      </c>
      <c r="R89" s="158">
        <v>1.27</v>
      </c>
      <c r="S89" s="158">
        <v>1.27</v>
      </c>
      <c r="T89" s="158">
        <v>1.27</v>
      </c>
      <c r="U89" s="158">
        <v>1.27</v>
      </c>
      <c r="V89" s="158">
        <v>1.27</v>
      </c>
      <c r="W89" s="158">
        <v>1.27</v>
      </c>
      <c r="X89" s="158">
        <v>1.27</v>
      </c>
      <c r="AB89" s="12">
        <v>83</v>
      </c>
      <c r="AC89" s="18" t="s">
        <v>116</v>
      </c>
      <c r="AD89" s="18"/>
    </row>
    <row r="90" spans="8:30" x14ac:dyDescent="0.2">
      <c r="AB90" s="12">
        <v>84</v>
      </c>
      <c r="AC90" s="18"/>
      <c r="AD90" s="18"/>
    </row>
    <row r="91" spans="8:30" x14ac:dyDescent="0.2">
      <c r="H91" s="156" t="s">
        <v>186</v>
      </c>
      <c r="AB91" s="12">
        <v>85</v>
      </c>
      <c r="AC91" s="18"/>
      <c r="AD91" s="18"/>
    </row>
    <row r="92" spans="8:30" x14ac:dyDescent="0.2">
      <c r="I92" s="19" t="s">
        <v>82</v>
      </c>
      <c r="J92" s="205"/>
      <c r="AB92" s="12">
        <v>86</v>
      </c>
      <c r="AC92" s="18"/>
      <c r="AD92" s="18"/>
    </row>
    <row r="93" spans="8:30" x14ac:dyDescent="0.2">
      <c r="J93" s="160" t="s">
        <v>83</v>
      </c>
      <c r="K93" s="155" cm="1">
        <f t="array" ref="K93:X93">_xlfn.ANCHORARRAY(ES.Costs!K49)</f>
        <v>227</v>
      </c>
      <c r="L93" s="155">
        <v>205.38207749971247</v>
      </c>
      <c r="M93" s="155">
        <v>190.04391739019778</v>
      </c>
      <c r="N93" s="155">
        <v>178.14671612112414</v>
      </c>
      <c r="O93" s="155">
        <v>168.42599488991021</v>
      </c>
      <c r="P93" s="155">
        <v>160.20724219520653</v>
      </c>
      <c r="Q93" s="155">
        <v>153.08783478039555</v>
      </c>
      <c r="R93" s="155">
        <v>146.80807238962265</v>
      </c>
      <c r="S93" s="155">
        <v>141.19063351132189</v>
      </c>
      <c r="T93" s="155">
        <v>136.10904192848042</v>
      </c>
      <c r="U93" s="155">
        <v>131.46991228010796</v>
      </c>
      <c r="V93" s="155">
        <v>127.20232669358673</v>
      </c>
      <c r="W93" s="155">
        <v>123.25115958540427</v>
      </c>
      <c r="X93" s="155">
        <v>119.57271101103436</v>
      </c>
      <c r="AB93" s="12">
        <v>87</v>
      </c>
      <c r="AC93" s="18" t="s">
        <v>84</v>
      </c>
      <c r="AD93" s="18"/>
    </row>
    <row r="94" spans="8:30" x14ac:dyDescent="0.2">
      <c r="J94" s="160" t="s">
        <v>85</v>
      </c>
      <c r="K94" s="155" cm="1">
        <f t="array" ref="K94:X94">_xlfn.ANCHORARRAY(ES.Costs!K50)</f>
        <v>92</v>
      </c>
      <c r="L94" s="155">
        <v>88.624872929158485</v>
      </c>
      <c r="M94" s="155">
        <v>86.230182162650451</v>
      </c>
      <c r="N94" s="155">
        <v>84.372715698425395</v>
      </c>
      <c r="O94" s="155">
        <v>82.85505509180895</v>
      </c>
      <c r="P94" s="155">
        <v>81.571891332290562</v>
      </c>
      <c r="Q94" s="155">
        <v>80.460364325300915</v>
      </c>
      <c r="R94" s="155">
        <v>79.479928020967421</v>
      </c>
      <c r="S94" s="155">
        <v>78.60289786107586</v>
      </c>
      <c r="T94" s="155">
        <v>77.809527577045088</v>
      </c>
      <c r="U94" s="155">
        <v>77.0852372544594</v>
      </c>
      <c r="V94" s="155">
        <v>76.418954745582369</v>
      </c>
      <c r="W94" s="155">
        <v>75.802073494941013</v>
      </c>
      <c r="X94" s="155">
        <v>75.227770790234359</v>
      </c>
      <c r="AB94" s="12">
        <v>88</v>
      </c>
      <c r="AC94" s="18" t="s">
        <v>84</v>
      </c>
      <c r="AD94" s="18"/>
    </row>
    <row r="95" spans="8:30" x14ac:dyDescent="0.2">
      <c r="J95" s="160" t="s">
        <v>86</v>
      </c>
      <c r="K95" s="155" cm="1">
        <f t="array" ref="K95:X95">_xlfn.ANCHORARRAY(ES.Costs!K51)</f>
        <v>13.999999999999998</v>
      </c>
      <c r="L95" s="155">
        <v>13.372323788164451</v>
      </c>
      <c r="M95" s="155">
        <v>13.005156741645944</v>
      </c>
      <c r="N95" s="155">
        <v>12.7446475763289</v>
      </c>
      <c r="O95" s="155">
        <v>12.542580969246563</v>
      </c>
      <c r="P95" s="155">
        <v>12.377480529810395</v>
      </c>
      <c r="Q95" s="155">
        <v>12.237890097244996</v>
      </c>
      <c r="R95" s="155">
        <v>12.116971364493349</v>
      </c>
      <c r="S95" s="155">
        <v>12.010313483291887</v>
      </c>
      <c r="T95" s="155">
        <v>11.914904757411014</v>
      </c>
      <c r="U95" s="155">
        <v>11.828597066509616</v>
      </c>
      <c r="V95" s="155">
        <v>11.749804317974842</v>
      </c>
      <c r="W95" s="155">
        <v>11.677322015591386</v>
      </c>
      <c r="X95" s="155">
        <v>11.610213885409445</v>
      </c>
      <c r="AB95" s="12">
        <v>89</v>
      </c>
      <c r="AC95" s="18" t="s">
        <v>84</v>
      </c>
      <c r="AD95" s="18"/>
    </row>
    <row r="96" spans="8:30" x14ac:dyDescent="0.2">
      <c r="J96" s="160" t="s">
        <v>87</v>
      </c>
      <c r="K96" s="155" cm="1">
        <f t="array" ref="K96:X96">_xlfn.ANCHORARRAY(ES.Costs!K52)</f>
        <v>32</v>
      </c>
      <c r="L96" s="155">
        <v>30.310475738682708</v>
      </c>
      <c r="M96" s="155">
        <v>29.322167401753482</v>
      </c>
      <c r="N96" s="155">
        <v>28.620951477365416</v>
      </c>
      <c r="O96" s="155">
        <v>28.077046150653562</v>
      </c>
      <c r="P96" s="155">
        <v>27.632643140436191</v>
      </c>
      <c r="Q96" s="155">
        <v>27.256905749055161</v>
      </c>
      <c r="R96" s="155">
        <v>26.931427216048125</v>
      </c>
      <c r="S96" s="155">
        <v>26.644334803506961</v>
      </c>
      <c r="T96" s="155">
        <v>26.387521889336266</v>
      </c>
      <c r="U96" s="155">
        <v>26.155206349944134</v>
      </c>
      <c r="V96" s="155">
        <v>25.943118879118895</v>
      </c>
      <c r="W96" s="155">
        <v>25.748017318658505</v>
      </c>
      <c r="X96" s="155">
        <v>25.567381487737872</v>
      </c>
      <c r="AB96" s="12">
        <v>90</v>
      </c>
      <c r="AC96" s="18" t="s">
        <v>84</v>
      </c>
      <c r="AD96" s="18"/>
    </row>
    <row r="97" spans="8:30" x14ac:dyDescent="0.2">
      <c r="J97" s="160" t="s">
        <v>88</v>
      </c>
      <c r="K97" s="163" cm="1">
        <f t="array" ref="K97:X97">ES.Costs!K53:X53</f>
        <v>11.700000000000001</v>
      </c>
      <c r="L97" s="163">
        <v>11.700000000000001</v>
      </c>
      <c r="M97" s="163">
        <v>11.700000000000001</v>
      </c>
      <c r="N97" s="163">
        <v>11.700000000000001</v>
      </c>
      <c r="O97" s="163">
        <v>11.700000000000001</v>
      </c>
      <c r="P97" s="163">
        <v>11.700000000000001</v>
      </c>
      <c r="Q97" s="163">
        <v>11.700000000000001</v>
      </c>
      <c r="R97" s="163">
        <v>11.700000000000001</v>
      </c>
      <c r="S97" s="163">
        <v>11.700000000000001</v>
      </c>
      <c r="T97" s="163">
        <v>11.700000000000001</v>
      </c>
      <c r="U97" s="163">
        <v>11.700000000000001</v>
      </c>
      <c r="V97" s="163">
        <v>11.700000000000001</v>
      </c>
      <c r="W97" s="163">
        <v>11.700000000000001</v>
      </c>
      <c r="X97" s="163">
        <v>11.700000000000001</v>
      </c>
      <c r="AB97" s="12">
        <v>91</v>
      </c>
      <c r="AC97" s="18" t="s">
        <v>84</v>
      </c>
      <c r="AD97" s="18"/>
    </row>
    <row r="98" spans="8:30" x14ac:dyDescent="0.2">
      <c r="J98" s="160" t="s">
        <v>89</v>
      </c>
      <c r="K98" s="273" cm="1">
        <f t="array" ref="K98:X98">95*K24:X24</f>
        <v>342000</v>
      </c>
      <c r="L98" s="273">
        <v>318235.64954682783</v>
      </c>
      <c r="M98" s="273">
        <v>297559.32203389826</v>
      </c>
      <c r="N98" s="273">
        <v>279405.83554376656</v>
      </c>
      <c r="O98" s="273">
        <v>263339.99999999994</v>
      </c>
      <c r="P98" s="273">
        <v>249021.27659574465</v>
      </c>
      <c r="Q98" s="273">
        <v>236179.37219730933</v>
      </c>
      <c r="R98" s="273">
        <v>224597.01492537308</v>
      </c>
      <c r="S98" s="273">
        <v>214097.5609756097</v>
      </c>
      <c r="T98" s="273">
        <v>204535.92233009703</v>
      </c>
      <c r="U98" s="273">
        <v>195791.82156133826</v>
      </c>
      <c r="V98" s="273">
        <v>187764.70588235289</v>
      </c>
      <c r="W98" s="273">
        <v>180369.86301369854</v>
      </c>
      <c r="X98" s="273">
        <v>167199.99999999997</v>
      </c>
      <c r="AB98" s="12">
        <v>92</v>
      </c>
      <c r="AC98" s="18" t="s">
        <v>84</v>
      </c>
      <c r="AD98" s="18"/>
    </row>
    <row r="99" spans="8:30" x14ac:dyDescent="0.2">
      <c r="J99" s="160" t="s">
        <v>90</v>
      </c>
      <c r="K99" s="155" cm="1">
        <f t="array" ref="K99:X99">_xlfn.ANCHORARRAY(ES.Costs!K55)</f>
        <v>32.570122209000324</v>
      </c>
      <c r="L99" s="155">
        <v>33.223077378929403</v>
      </c>
      <c r="M99" s="155">
        <v>33.889122780795638</v>
      </c>
      <c r="N99" s="155">
        <v>34.568520843292539</v>
      </c>
      <c r="O99" s="155">
        <v>35.261539256198333</v>
      </c>
      <c r="P99" s="155">
        <v>35.968451075848478</v>
      </c>
      <c r="Q99" s="155">
        <v>36.689534832722636</v>
      </c>
      <c r="R99" s="155">
        <v>37.425074641188552</v>
      </c>
      <c r="S99" s="155">
        <v>38.175360311445978</v>
      </c>
      <c r="T99" s="155">
        <v>38.940687463714873</v>
      </c>
      <c r="U99" s="155">
        <v>39.72135764471281</v>
      </c>
      <c r="V99" s="155">
        <v>40.517678446467436</v>
      </c>
      <c r="W99" s="155">
        <v>41.329963627510892</v>
      </c>
      <c r="X99" s="155">
        <v>42.15853323650385</v>
      </c>
      <c r="AB99" s="12">
        <v>93</v>
      </c>
      <c r="AC99" s="18" t="s">
        <v>84</v>
      </c>
      <c r="AD99" s="18"/>
    </row>
    <row r="100" spans="8:30" x14ac:dyDescent="0.2">
      <c r="J100" s="160" t="s">
        <v>91</v>
      </c>
      <c r="K100" s="179" cm="1">
        <f t="array" ref="K100:X100">_xlfn.ANCHORARRAY(ES.Costs!K56)</f>
        <v>0.13333333333333333</v>
      </c>
      <c r="L100" s="179">
        <v>0.14329004329004327</v>
      </c>
      <c r="M100" s="179">
        <v>0.15324675324675327</v>
      </c>
      <c r="N100" s="179">
        <v>0.16320346320346321</v>
      </c>
      <c r="O100" s="179">
        <v>0.17316017316017318</v>
      </c>
      <c r="P100" s="179">
        <v>0.18311688311688315</v>
      </c>
      <c r="Q100" s="179">
        <v>0.19307359307359312</v>
      </c>
      <c r="R100" s="179">
        <v>0.20303030303030306</v>
      </c>
      <c r="S100" s="179">
        <v>0.21298701298701306</v>
      </c>
      <c r="T100" s="179">
        <v>0.222943722943723</v>
      </c>
      <c r="U100" s="179">
        <v>0.23290043290043297</v>
      </c>
      <c r="V100" s="179">
        <v>0.24285714285714294</v>
      </c>
      <c r="W100" s="179">
        <v>0.25281385281385294</v>
      </c>
      <c r="X100" s="179">
        <v>0.27272727272727276</v>
      </c>
      <c r="AB100" s="12">
        <v>94</v>
      </c>
      <c r="AC100" s="18" t="s">
        <v>84</v>
      </c>
      <c r="AD100" s="18"/>
    </row>
    <row r="101" spans="8:30" x14ac:dyDescent="0.2">
      <c r="I101" s="19" t="s">
        <v>92</v>
      </c>
      <c r="J101" s="160"/>
      <c r="K101" s="32"/>
      <c r="L101" s="32"/>
      <c r="M101" s="32"/>
      <c r="N101" s="32"/>
      <c r="O101" s="32"/>
      <c r="P101" s="32"/>
      <c r="Q101" s="32"/>
      <c r="R101" s="32"/>
      <c r="S101" s="32"/>
      <c r="T101" s="32"/>
      <c r="U101" s="32"/>
      <c r="V101" s="32"/>
      <c r="W101" s="32"/>
      <c r="X101" s="32"/>
      <c r="AB101" s="12">
        <v>95</v>
      </c>
      <c r="AC101" s="18"/>
      <c r="AD101" s="18"/>
    </row>
    <row r="102" spans="8:30" x14ac:dyDescent="0.2">
      <c r="J102" s="160" t="s">
        <v>93</v>
      </c>
      <c r="K102" s="155" cm="1">
        <f t="array" ref="K102:X102">_xlfn.ANCHORARRAY(ES.Costs!K58)</f>
        <v>12</v>
      </c>
      <c r="L102" s="155">
        <v>10.483628082364021</v>
      </c>
      <c r="M102" s="155">
        <v>9.5966073734003441</v>
      </c>
      <c r="N102" s="155">
        <v>8.9672561647280435</v>
      </c>
      <c r="O102" s="155">
        <v>8.4790934421427977</v>
      </c>
      <c r="P102" s="155">
        <v>8.0802354557643685</v>
      </c>
      <c r="Q102" s="155">
        <v>7.7430058333547107</v>
      </c>
      <c r="R102" s="155">
        <v>7.4508842470920671</v>
      </c>
      <c r="S102" s="155">
        <v>7.19321474680069</v>
      </c>
      <c r="T102" s="155">
        <v>6.9627215245068195</v>
      </c>
      <c r="U102" s="155">
        <v>6.7542150425164271</v>
      </c>
      <c r="V102" s="155">
        <v>6.5638635381283894</v>
      </c>
      <c r="W102" s="155">
        <v>6.3887571285060547</v>
      </c>
      <c r="X102" s="155">
        <v>6.2266339157187325</v>
      </c>
      <c r="AB102" s="12">
        <v>96</v>
      </c>
      <c r="AC102" s="18" t="s">
        <v>84</v>
      </c>
      <c r="AD102" s="18"/>
    </row>
    <row r="103" spans="8:30" x14ac:dyDescent="0.2">
      <c r="J103" s="160" t="s">
        <v>94</v>
      </c>
      <c r="K103" s="158" cm="1">
        <f t="array" ref="K103:X103">_xlfn.ANCHORARRAY(ES.Costs!K59)</f>
        <v>13</v>
      </c>
      <c r="L103" s="158">
        <v>13</v>
      </c>
      <c r="M103" s="158">
        <v>13</v>
      </c>
      <c r="N103" s="158">
        <v>13</v>
      </c>
      <c r="O103" s="158">
        <v>13</v>
      </c>
      <c r="P103" s="158">
        <v>13</v>
      </c>
      <c r="Q103" s="158">
        <v>13</v>
      </c>
      <c r="R103" s="158">
        <v>13</v>
      </c>
      <c r="S103" s="158">
        <v>13</v>
      </c>
      <c r="T103" s="158">
        <v>13</v>
      </c>
      <c r="U103" s="158">
        <v>13</v>
      </c>
      <c r="V103" s="158">
        <v>13</v>
      </c>
      <c r="W103" s="158">
        <v>13</v>
      </c>
      <c r="X103" s="158">
        <v>13</v>
      </c>
      <c r="AB103" s="12">
        <v>97</v>
      </c>
      <c r="AC103" s="18" t="s">
        <v>84</v>
      </c>
      <c r="AD103" s="18"/>
    </row>
    <row r="104" spans="8:30" x14ac:dyDescent="0.2">
      <c r="J104" s="160" t="s">
        <v>95</v>
      </c>
      <c r="K104" s="158" cm="1">
        <f t="array" ref="K104:X104">_xlfn.ANCHORARRAY(ES.Costs!K60)</f>
        <v>1.27</v>
      </c>
      <c r="L104" s="158">
        <v>1.27</v>
      </c>
      <c r="M104" s="158">
        <v>1.27</v>
      </c>
      <c r="N104" s="158">
        <v>1.27</v>
      </c>
      <c r="O104" s="158">
        <v>1.27</v>
      </c>
      <c r="P104" s="158">
        <v>1.27</v>
      </c>
      <c r="Q104" s="158">
        <v>1.27</v>
      </c>
      <c r="R104" s="158">
        <v>1.27</v>
      </c>
      <c r="S104" s="158">
        <v>1.27</v>
      </c>
      <c r="T104" s="158">
        <v>1.27</v>
      </c>
      <c r="U104" s="158">
        <v>1.27</v>
      </c>
      <c r="V104" s="158">
        <v>1.27</v>
      </c>
      <c r="W104" s="158">
        <v>1.27</v>
      </c>
      <c r="X104" s="158">
        <v>1.27</v>
      </c>
      <c r="AB104" s="12">
        <v>98</v>
      </c>
      <c r="AC104" s="18" t="s">
        <v>84</v>
      </c>
      <c r="AD104" s="18"/>
    </row>
    <row r="105" spans="8:30" x14ac:dyDescent="0.2">
      <c r="AB105" s="12">
        <v>99</v>
      </c>
      <c r="AC105" s="18"/>
      <c r="AD105" s="18"/>
    </row>
    <row r="106" spans="8:30" x14ac:dyDescent="0.2">
      <c r="H106" s="19" t="s">
        <v>96</v>
      </c>
      <c r="AB106" s="12">
        <v>100</v>
      </c>
      <c r="AC106" s="18"/>
      <c r="AD106" s="18"/>
    </row>
    <row r="107" spans="8:30" x14ac:dyDescent="0.2">
      <c r="I107" s="19" t="s">
        <v>44</v>
      </c>
      <c r="J107" s="160"/>
      <c r="AB107" s="12">
        <v>101</v>
      </c>
      <c r="AC107" s="18"/>
      <c r="AD107" s="18"/>
    </row>
    <row r="108" spans="8:30" x14ac:dyDescent="0.2">
      <c r="J108" s="160" t="s">
        <v>187</v>
      </c>
      <c r="K108" s="163">
        <f t="shared" ref="K108:X108" si="25">K23</f>
        <v>480</v>
      </c>
      <c r="L108" s="163">
        <f t="shared" si="25"/>
        <v>480</v>
      </c>
      <c r="M108" s="163">
        <f t="shared" si="25"/>
        <v>480</v>
      </c>
      <c r="N108" s="163">
        <f t="shared" si="25"/>
        <v>480</v>
      </c>
      <c r="O108" s="163">
        <f t="shared" si="25"/>
        <v>480</v>
      </c>
      <c r="P108" s="163">
        <f t="shared" si="25"/>
        <v>480</v>
      </c>
      <c r="Q108" s="163">
        <f t="shared" si="25"/>
        <v>480</v>
      </c>
      <c r="R108" s="163">
        <f t="shared" si="25"/>
        <v>480</v>
      </c>
      <c r="S108" s="163">
        <f t="shared" si="25"/>
        <v>480</v>
      </c>
      <c r="T108" s="163">
        <f t="shared" si="25"/>
        <v>480</v>
      </c>
      <c r="U108" s="163">
        <f t="shared" si="25"/>
        <v>480</v>
      </c>
      <c r="V108" s="163">
        <f t="shared" si="25"/>
        <v>480</v>
      </c>
      <c r="W108" s="163">
        <f t="shared" si="25"/>
        <v>480</v>
      </c>
      <c r="X108" s="163">
        <f t="shared" si="25"/>
        <v>480</v>
      </c>
      <c r="AB108" s="12">
        <v>102</v>
      </c>
      <c r="AC108" s="18" t="s">
        <v>36</v>
      </c>
      <c r="AD108" s="18"/>
    </row>
    <row r="109" spans="8:30" x14ac:dyDescent="0.2">
      <c r="J109" s="160" t="s">
        <v>97</v>
      </c>
      <c r="K109" s="163" cm="1">
        <f t="array" ref="K109:X109">es.annual.cycles</f>
        <v>300</v>
      </c>
      <c r="L109" s="163">
        <v>300</v>
      </c>
      <c r="M109" s="163">
        <v>300</v>
      </c>
      <c r="N109" s="163">
        <v>300</v>
      </c>
      <c r="O109" s="163">
        <v>300</v>
      </c>
      <c r="P109" s="163">
        <v>300</v>
      </c>
      <c r="Q109" s="163">
        <v>300</v>
      </c>
      <c r="R109" s="163">
        <v>300</v>
      </c>
      <c r="S109" s="163">
        <v>300</v>
      </c>
      <c r="T109" s="163">
        <v>300</v>
      </c>
      <c r="U109" s="163">
        <v>300</v>
      </c>
      <c r="V109" s="163">
        <v>300</v>
      </c>
      <c r="W109" s="163">
        <v>300</v>
      </c>
      <c r="X109" s="163">
        <v>300</v>
      </c>
      <c r="AB109" s="12">
        <v>103</v>
      </c>
      <c r="AC109" s="18" t="s">
        <v>36</v>
      </c>
      <c r="AD109" s="18"/>
    </row>
    <row r="110" spans="8:30" x14ac:dyDescent="0.2">
      <c r="J110" s="160" t="s">
        <v>188</v>
      </c>
      <c r="K110" s="204" cm="1">
        <f t="array" ref="K110:X110">es.avg.lifetime.rated.capacity</f>
        <v>0.91</v>
      </c>
      <c r="L110" s="204">
        <v>0.91</v>
      </c>
      <c r="M110" s="204">
        <v>0.91</v>
      </c>
      <c r="N110" s="204">
        <v>0.91</v>
      </c>
      <c r="O110" s="204">
        <v>0.91</v>
      </c>
      <c r="P110" s="204">
        <v>0.91</v>
      </c>
      <c r="Q110" s="204">
        <v>0.91</v>
      </c>
      <c r="R110" s="204">
        <v>0.91</v>
      </c>
      <c r="S110" s="204">
        <v>0.91</v>
      </c>
      <c r="T110" s="204">
        <v>0.91</v>
      </c>
      <c r="U110" s="204">
        <v>0.91</v>
      </c>
      <c r="V110" s="204">
        <v>0.91</v>
      </c>
      <c r="W110" s="204">
        <v>0.91</v>
      </c>
      <c r="X110" s="204">
        <v>0.91</v>
      </c>
      <c r="AB110" s="12">
        <v>104</v>
      </c>
      <c r="AC110" s="18" t="s">
        <v>36</v>
      </c>
      <c r="AD110" s="18"/>
    </row>
    <row r="111" spans="8:30" x14ac:dyDescent="0.2">
      <c r="J111" s="160" t="s">
        <v>99</v>
      </c>
      <c r="K111" s="204" cm="1">
        <f t="array" ref="K111:X111">es.RTE</f>
        <v>0.8322222222222222</v>
      </c>
      <c r="L111" s="204">
        <v>0.83444444444444443</v>
      </c>
      <c r="M111" s="204">
        <v>0.83666666666666667</v>
      </c>
      <c r="N111" s="204">
        <v>0.83888888888888891</v>
      </c>
      <c r="O111" s="204">
        <v>0.84111111111111114</v>
      </c>
      <c r="P111" s="204">
        <v>0.84333333333333338</v>
      </c>
      <c r="Q111" s="204">
        <v>0.84555555555555562</v>
      </c>
      <c r="R111" s="204">
        <v>0.84777777777777785</v>
      </c>
      <c r="S111" s="204">
        <v>0.85</v>
      </c>
      <c r="T111" s="204">
        <v>0.85222222222222133</v>
      </c>
      <c r="U111" s="204">
        <v>0.8544444444444439</v>
      </c>
      <c r="V111" s="204">
        <v>0.85666666666666647</v>
      </c>
      <c r="W111" s="204">
        <v>0.85888888888888815</v>
      </c>
      <c r="X111" s="204">
        <v>0.86111111111111072</v>
      </c>
      <c r="AB111" s="12">
        <v>105</v>
      </c>
      <c r="AC111" s="18" t="s">
        <v>36</v>
      </c>
      <c r="AD111" s="18"/>
    </row>
    <row r="112" spans="8:30" x14ac:dyDescent="0.2">
      <c r="J112" s="160" t="s">
        <v>189</v>
      </c>
      <c r="K112" s="273" cm="1">
        <f t="array" ref="K112:X112">K108:X108*_xlfn.ANCHORARRAY(K109)*(1-_xlfn.ANCHORARRAY(K111))</f>
        <v>24160.000000000004</v>
      </c>
      <c r="L112" s="273">
        <v>23840</v>
      </c>
      <c r="M112" s="273">
        <v>23520</v>
      </c>
      <c r="N112" s="273">
        <v>23199.999999999996</v>
      </c>
      <c r="O112" s="273">
        <v>22879.999999999996</v>
      </c>
      <c r="P112" s="273">
        <v>22559.999999999993</v>
      </c>
      <c r="Q112" s="273">
        <v>22239.999999999993</v>
      </c>
      <c r="R112" s="273">
        <v>21919.999999999989</v>
      </c>
      <c r="S112" s="273">
        <v>21600.000000000004</v>
      </c>
      <c r="T112" s="273">
        <v>21280.000000000127</v>
      </c>
      <c r="U112" s="273">
        <v>20960.00000000008</v>
      </c>
      <c r="V112" s="273">
        <v>20640.000000000029</v>
      </c>
      <c r="W112" s="273">
        <v>20320.000000000106</v>
      </c>
      <c r="X112" s="273">
        <v>20000.000000000058</v>
      </c>
      <c r="AB112" s="12">
        <v>106</v>
      </c>
      <c r="AC112" s="18" t="s">
        <v>190</v>
      </c>
      <c r="AD112" s="18"/>
    </row>
    <row r="113" spans="5:30" x14ac:dyDescent="0.2">
      <c r="J113" s="160" t="s">
        <v>191</v>
      </c>
      <c r="K113" s="273" cm="1">
        <f t="array" ref="K113:X113">_xlfn.ANCHORARRAY(K17)*8760*_xlfn.ANCHORARRAY(K14)</f>
        <v>234017.14285714287</v>
      </c>
      <c r="L113" s="273">
        <v>235018.28571428577</v>
      </c>
      <c r="M113" s="273">
        <v>236019.42857142864</v>
      </c>
      <c r="N113" s="273">
        <v>237020.57142857151</v>
      </c>
      <c r="O113" s="273">
        <v>238021.71428571435</v>
      </c>
      <c r="P113" s="273">
        <v>239022.85714285722</v>
      </c>
      <c r="Q113" s="273">
        <v>240024.00000000009</v>
      </c>
      <c r="R113" s="273">
        <v>241025.14285714299</v>
      </c>
      <c r="S113" s="273">
        <v>242026.28571428586</v>
      </c>
      <c r="T113" s="273">
        <v>243027.4285714287</v>
      </c>
      <c r="U113" s="273">
        <v>244028.57142857157</v>
      </c>
      <c r="V113" s="273">
        <v>245029.71428571444</v>
      </c>
      <c r="W113" s="273">
        <v>246030.85714285733</v>
      </c>
      <c r="X113" s="273">
        <v>247032</v>
      </c>
      <c r="AB113" s="12">
        <v>107</v>
      </c>
      <c r="AC113" s="18" t="s">
        <v>190</v>
      </c>
      <c r="AD113" s="18"/>
    </row>
    <row r="114" spans="5:30" x14ac:dyDescent="0.2">
      <c r="J114" s="160" t="s">
        <v>192</v>
      </c>
      <c r="K114" s="273" cm="1">
        <f t="array" ref="K114:X114">_xlfn.ANCHORARRAY(K113)-_xlfn.ANCHORARRAY(K112)+_xlfn.ANCHORARRAY(K116)</f>
        <v>223949.45674811138</v>
      </c>
      <c r="L114" s="273">
        <v>225330.88757911939</v>
      </c>
      <c r="M114" s="273">
        <v>226712.31841012737</v>
      </c>
      <c r="N114" s="273">
        <v>228093.74924113532</v>
      </c>
      <c r="O114" s="273">
        <v>229475.18007214327</v>
      </c>
      <c r="P114" s="273">
        <v>230856.61090315125</v>
      </c>
      <c r="Q114" s="273">
        <v>232238.04173415923</v>
      </c>
      <c r="R114" s="273">
        <v>233619.47256516723</v>
      </c>
      <c r="S114" s="273">
        <v>235000.90339617521</v>
      </c>
      <c r="T114" s="273">
        <v>236382.33422718305</v>
      </c>
      <c r="U114" s="273">
        <v>237763.76505819103</v>
      </c>
      <c r="V114" s="273">
        <v>239145.19588919907</v>
      </c>
      <c r="W114" s="273">
        <v>240526.62672020699</v>
      </c>
      <c r="X114" s="273">
        <v>241908.05755121482</v>
      </c>
      <c r="AB114" s="12">
        <v>108</v>
      </c>
      <c r="AC114" s="18" t="s">
        <v>190</v>
      </c>
      <c r="AD114" s="18"/>
    </row>
    <row r="115" spans="5:30" x14ac:dyDescent="0.2">
      <c r="J115" s="160" t="s">
        <v>193</v>
      </c>
      <c r="K115" s="275" cm="1">
        <f t="array" ref="K115:X115">_xlfn.ANCHORARRAY(K114)/_xlfn.ANCHORARRAY(K14)/8760</f>
        <v>0.19139577042423991</v>
      </c>
      <c r="L115" s="275">
        <v>0.19175604731714924</v>
      </c>
      <c r="M115" s="275">
        <v>0.19211326777830531</v>
      </c>
      <c r="N115" s="275">
        <v>0.19246747053757199</v>
      </c>
      <c r="O115" s="275">
        <v>0.19281869367320659</v>
      </c>
      <c r="P115" s="275">
        <v>0.193166974625506</v>
      </c>
      <c r="Q115" s="275">
        <v>0.19351235021011159</v>
      </c>
      <c r="R115" s="275">
        <v>0.19385485663098215</v>
      </c>
      <c r="S115" s="275">
        <v>0.19419452949304508</v>
      </c>
      <c r="T115" s="275">
        <v>0.19453140381453482</v>
      </c>
      <c r="U115" s="275">
        <v>0.19486551403902777</v>
      </c>
      <c r="V115" s="275">
        <v>0.19519689404718174</v>
      </c>
      <c r="W115" s="275">
        <v>0.19552557716818886</v>
      </c>
      <c r="X115" s="275">
        <v>0.19585159619095083</v>
      </c>
      <c r="AB115" s="12">
        <v>109</v>
      </c>
      <c r="AC115" s="18" t="s">
        <v>190</v>
      </c>
      <c r="AD115" s="18"/>
    </row>
    <row r="116" spans="5:30" x14ac:dyDescent="0.2">
      <c r="J116" s="160" t="s">
        <v>194</v>
      </c>
      <c r="K116" s="273" cm="1">
        <f t="array" ref="K116:X116">0.060219151977132*_xlfn.ANCHORARRAY(K17)*8760*_xlfn.ANCHORARRAY(K14)</f>
        <v>14092.313890968499</v>
      </c>
      <c r="L116" s="273">
        <v>14152.601864833605</v>
      </c>
      <c r="M116" s="273">
        <v>14212.889838698713</v>
      </c>
      <c r="N116" s="273">
        <v>14273.177812563819</v>
      </c>
      <c r="O116" s="273">
        <v>14333.465786428924</v>
      </c>
      <c r="P116" s="273">
        <v>14393.75376029403</v>
      </c>
      <c r="Q116" s="273">
        <v>14454.041734159138</v>
      </c>
      <c r="R116" s="273">
        <v>14514.329708024245</v>
      </c>
      <c r="S116" s="273">
        <v>14574.617681889353</v>
      </c>
      <c r="T116" s="273">
        <v>14634.905655754457</v>
      </c>
      <c r="U116" s="273">
        <v>14695.193629619564</v>
      </c>
      <c r="V116" s="273">
        <v>14755.48160348467</v>
      </c>
      <c r="W116" s="273">
        <v>14815.769577349778</v>
      </c>
      <c r="X116" s="273">
        <v>14876.057551214873</v>
      </c>
      <c r="AB116" s="12">
        <v>110</v>
      </c>
      <c r="AC116" s="18" t="s">
        <v>190</v>
      </c>
      <c r="AD116" s="18"/>
    </row>
    <row r="117" spans="5:30" x14ac:dyDescent="0.2">
      <c r="J117" s="160" t="s">
        <v>195</v>
      </c>
      <c r="K117" s="327">
        <f>(K116-K112)/K113</f>
        <v>-4.302114787880041E-2</v>
      </c>
      <c r="L117" s="327">
        <f t="shared" ref="L117:X117" si="26">(L116-L112)/L113</f>
        <v>-4.1219763414253936E-2</v>
      </c>
      <c r="M117" s="327">
        <f t="shared" si="26"/>
        <v>-3.943366110847351E-2</v>
      </c>
      <c r="N117" s="327">
        <f t="shared" si="26"/>
        <v>-3.7662647312140009E-2</v>
      </c>
      <c r="O117" s="327">
        <f t="shared" si="26"/>
        <v>-3.5906531633967065E-2</v>
      </c>
      <c r="P117" s="327">
        <f t="shared" si="26"/>
        <v>-3.4165126872469892E-2</v>
      </c>
      <c r="Q117" s="327">
        <f t="shared" si="26"/>
        <v>-3.2438248949441938E-2</v>
      </c>
      <c r="R117" s="327">
        <f t="shared" si="26"/>
        <v>-3.0725716845089179E-2</v>
      </c>
      <c r="S117" s="327">
        <f t="shared" si="26"/>
        <v>-2.9027352534774575E-2</v>
      </c>
      <c r="T117" s="327">
        <f t="shared" si="26"/>
        <v>-2.7342980927326056E-2</v>
      </c>
      <c r="U117" s="327">
        <f t="shared" si="26"/>
        <v>-2.5672429804861018E-2</v>
      </c>
      <c r="V117" s="327">
        <f t="shared" si="26"/>
        <v>-2.4015529764091288E-2</v>
      </c>
      <c r="W117" s="327">
        <f t="shared" si="26"/>
        <v>-2.2372114159055694E-2</v>
      </c>
      <c r="X117" s="327">
        <f t="shared" si="26"/>
        <v>-2.0742019045245898E-2</v>
      </c>
      <c r="AB117" s="12">
        <v>111</v>
      </c>
      <c r="AC117" s="18"/>
      <c r="AD117" s="18"/>
    </row>
    <row r="118" spans="5:30" x14ac:dyDescent="0.2">
      <c r="J118" s="160"/>
      <c r="K118" s="273"/>
      <c r="L118" s="273"/>
      <c r="M118" s="273"/>
      <c r="N118" s="273"/>
      <c r="O118" s="273"/>
      <c r="P118" s="273"/>
      <c r="Q118" s="273"/>
      <c r="R118" s="273"/>
      <c r="S118" s="273"/>
      <c r="T118" s="273"/>
      <c r="U118" s="273"/>
      <c r="V118" s="273"/>
      <c r="W118" s="273"/>
      <c r="X118" s="273"/>
      <c r="AB118" s="12">
        <v>112</v>
      </c>
      <c r="AC118" s="18"/>
      <c r="AD118" s="18"/>
    </row>
    <row r="119" spans="5:30" x14ac:dyDescent="0.2">
      <c r="J119" s="160"/>
      <c r="K119" s="273"/>
      <c r="L119" s="273"/>
      <c r="M119" s="273"/>
      <c r="N119" s="273"/>
      <c r="O119" s="273"/>
      <c r="P119" s="273"/>
      <c r="Q119" s="273"/>
      <c r="R119" s="273"/>
      <c r="S119" s="273"/>
      <c r="T119" s="273"/>
      <c r="U119" s="273"/>
      <c r="V119" s="273"/>
      <c r="W119" s="273"/>
      <c r="X119" s="273"/>
      <c r="AB119" s="12">
        <v>113</v>
      </c>
      <c r="AC119" s="18"/>
      <c r="AD119" s="18"/>
    </row>
    <row r="120" spans="5:30" x14ac:dyDescent="0.2">
      <c r="J120" s="160"/>
      <c r="K120" s="160"/>
      <c r="AB120" s="12">
        <v>114</v>
      </c>
      <c r="AC120" s="18"/>
      <c r="AD120" s="18"/>
    </row>
    <row r="121" spans="5:30" x14ac:dyDescent="0.2">
      <c r="I121" s="19" t="s">
        <v>100</v>
      </c>
      <c r="J121" s="20"/>
      <c r="K121" s="21"/>
      <c r="L121" s="21"/>
      <c r="M121" s="21"/>
      <c r="N121" s="21"/>
      <c r="O121" s="21"/>
      <c r="P121" s="21"/>
      <c r="Q121" s="21"/>
      <c r="R121" s="21"/>
      <c r="S121" s="21"/>
      <c r="T121" s="21"/>
      <c r="U121" s="21"/>
      <c r="V121" s="21"/>
      <c r="W121" s="21"/>
      <c r="X121" s="21"/>
      <c r="AB121" s="12">
        <v>115</v>
      </c>
      <c r="AC121" s="18"/>
      <c r="AD121" s="18"/>
    </row>
    <row r="122" spans="5:30" x14ac:dyDescent="0.2">
      <c r="J122" s="160" t="s">
        <v>101</v>
      </c>
      <c r="K122" s="204">
        <f>((project.interest_rate*(1+project.interest_rate)^project.debt_period)/(((1+project.interest_rate)^project.debt_period)-1))</f>
        <v>0.17913501805901069</v>
      </c>
      <c r="L122" s="204">
        <f t="shared" ref="L122:X122" si="27">((project.interest_rate*(1+project.interest_rate)^project.debt_period)/(((1+project.interest_rate)^project.debt_period)-1))</f>
        <v>0.17913501805901069</v>
      </c>
      <c r="M122" s="204">
        <f t="shared" si="27"/>
        <v>0.17913501805901069</v>
      </c>
      <c r="N122" s="204">
        <f t="shared" si="27"/>
        <v>0.17913501805901069</v>
      </c>
      <c r="O122" s="204">
        <f t="shared" si="27"/>
        <v>0.17913501805901069</v>
      </c>
      <c r="P122" s="204">
        <f t="shared" si="27"/>
        <v>0.17913501805901069</v>
      </c>
      <c r="Q122" s="204">
        <f t="shared" si="27"/>
        <v>0.17913501805901069</v>
      </c>
      <c r="R122" s="204">
        <f t="shared" si="27"/>
        <v>0.17913501805901069</v>
      </c>
      <c r="S122" s="204">
        <f t="shared" si="27"/>
        <v>0.17913501805901069</v>
      </c>
      <c r="T122" s="204">
        <f t="shared" si="27"/>
        <v>0.17913501805901069</v>
      </c>
      <c r="U122" s="204">
        <f t="shared" si="27"/>
        <v>0.17913501805901069</v>
      </c>
      <c r="V122" s="204">
        <f t="shared" si="27"/>
        <v>0.17913501805901069</v>
      </c>
      <c r="W122" s="204">
        <f t="shared" si="27"/>
        <v>0.17913501805901069</v>
      </c>
      <c r="X122" s="204">
        <f t="shared" si="27"/>
        <v>0.17913501805901069</v>
      </c>
      <c r="AB122" s="12">
        <v>116</v>
      </c>
      <c r="AC122" s="18" t="s">
        <v>102</v>
      </c>
      <c r="AD122" s="18"/>
    </row>
    <row r="123" spans="5:30" x14ac:dyDescent="0.2">
      <c r="J123" s="160" t="s">
        <v>103</v>
      </c>
      <c r="K123" s="159">
        <f t="shared" ref="K123:X123" si="28">NPV(jurisdiction.discount_rate,_xlfn.MAKEARRAY(1,project.debt_period,_xlfn.LAMBDA(_xlpm.r,_xlpm.c,K$122*K$7*(1-project.downpayment))))+NPV(jurisdiction.discount_rate,_xlfn.MAKEARRAY(1,K16,_xlfn.LAMBDA(_xlpm.r,_xlpm.c,K$8)))+K$7*project.downpayment</f>
        <v>7356.4663807408115</v>
      </c>
      <c r="L123" s="159">
        <f t="shared" si="28"/>
        <v>6909.7195479659895</v>
      </c>
      <c r="M123" s="159">
        <f t="shared" si="28"/>
        <v>6604.4108371781185</v>
      </c>
      <c r="N123" s="159">
        <f t="shared" si="28"/>
        <v>6346.1381679118849</v>
      </c>
      <c r="O123" s="159">
        <f t="shared" si="28"/>
        <v>6154.7702312156816</v>
      </c>
      <c r="P123" s="159">
        <f t="shared" si="28"/>
        <v>6015.5519823530431</v>
      </c>
      <c r="Q123" s="159">
        <f t="shared" si="28"/>
        <v>5896.9930049815966</v>
      </c>
      <c r="R123" s="159">
        <f t="shared" si="28"/>
        <v>5773.852132938714</v>
      </c>
      <c r="S123" s="159">
        <f t="shared" si="28"/>
        <v>5684.2206698636855</v>
      </c>
      <c r="T123" s="159">
        <f t="shared" si="28"/>
        <v>5611.7094560184569</v>
      </c>
      <c r="U123" s="159">
        <f t="shared" si="28"/>
        <v>5547.6834636035901</v>
      </c>
      <c r="V123" s="159">
        <f t="shared" si="28"/>
        <v>5472.2567548914321</v>
      </c>
      <c r="W123" s="159">
        <f t="shared" si="28"/>
        <v>5421.9416416526146</v>
      </c>
      <c r="X123" s="159">
        <f t="shared" si="28"/>
        <v>5355.7084359055707</v>
      </c>
      <c r="AB123" s="12">
        <v>117</v>
      </c>
      <c r="AC123" s="18" t="s">
        <v>104</v>
      </c>
      <c r="AD123" s="18"/>
    </row>
    <row r="124" spans="5:30" x14ac:dyDescent="0.2">
      <c r="J124" s="160" t="s">
        <v>105</v>
      </c>
      <c r="K124" s="273" cm="1">
        <f t="array" ref="K124">NPV(jurisdiction.discount_rate,_xlfn.MAKEARRAY(1,K$16,_xlfn.LAMBDA(_xlpm.r,_xlpm.c,(0.995^(_xlpm.c-1)))))*K$18*8760</f>
        <v>32057.767958270699</v>
      </c>
      <c r="L124" s="273" cm="1">
        <f t="array" ref="L124">NPV(jurisdiction.discount_rate,_xlfn.MAKEARRAY(1,L$16,_xlfn.LAMBDA(_xlpm.r,_xlpm.c,(0.995^(_xlpm.c-1)))))*L$18*8760</f>
        <v>32657.577498552469</v>
      </c>
      <c r="M124" s="273" cm="1">
        <f t="array" ref="M124">NPV(jurisdiction.discount_rate,_xlfn.MAKEARRAY(1,M$16,_xlfn.LAMBDA(_xlpm.r,_xlpm.c,(0.995^(_xlpm.c-1)))))*M$18*8760</f>
        <v>33240.519544115785</v>
      </c>
      <c r="N124" s="273" cm="1">
        <f t="array" ref="N124">NPV(jurisdiction.discount_rate,_xlfn.MAKEARRAY(1,N$16,_xlfn.LAMBDA(_xlpm.r,_xlpm.c,(0.995^(_xlpm.c-1)))))*N$18*8760</f>
        <v>33301.805700340934</v>
      </c>
      <c r="O124" s="273" cm="1">
        <f t="array" ref="O124">NPV(jurisdiction.discount_rate,_xlfn.MAKEARRAY(1,O$16,_xlfn.LAMBDA(_xlpm.r,_xlpm.c,(0.995^(_xlpm.c-1)))))*O$18*8760</f>
        <v>33868.791437238084</v>
      </c>
      <c r="P124" s="273" cm="1">
        <f t="array" ref="P124">NPV(jurisdiction.discount_rate,_xlfn.MAKEARRAY(1,P$16,_xlfn.LAMBDA(_xlpm.r,_xlpm.c,(0.995^(_xlpm.c-1)))))*P$18*8760</f>
        <v>34419.864259208029</v>
      </c>
      <c r="Q124" s="273" cm="1">
        <f t="array" ref="Q124">NPV(jurisdiction.discount_rate,_xlfn.MAKEARRAY(1,Q$16,_xlfn.LAMBDA(_xlpm.r,_xlpm.c,(0.995^(_xlpm.c-1)))))*Q$18*8760</f>
        <v>34955.501839234981</v>
      </c>
      <c r="R124" s="273" cm="1">
        <f t="array" ref="R124">NPV(jurisdiction.discount_rate,_xlfn.MAKEARRAY(1,R$16,_xlfn.LAMBDA(_xlpm.r,_xlpm.c,(0.995^(_xlpm.c-1)))))*R$18*8760</f>
        <v>35017.371191819919</v>
      </c>
      <c r="S124" s="273" cm="1">
        <f t="array" ref="S124">NPV(jurisdiction.discount_rate,_xlfn.MAKEARRAY(1,S$16,_xlfn.LAMBDA(_xlpm.r,_xlpm.c,(0.995^(_xlpm.c-1)))))*S$18*8760</f>
        <v>35538.329255864861</v>
      </c>
      <c r="T124" s="273" cm="1">
        <f t="array" ref="T124">NPV(jurisdiction.discount_rate,_xlfn.MAKEARRAY(1,T$16,_xlfn.LAMBDA(_xlpm.r,_xlpm.c,(0.995^(_xlpm.c-1)))))*T$18*8760</f>
        <v>36044.731775210348</v>
      </c>
      <c r="U124" s="273" cm="1">
        <f t="array" ref="U124">NPV(jurisdiction.discount_rate,_xlfn.MAKEARRAY(1,U$16,_xlfn.LAMBDA(_xlpm.r,_xlpm.c,(0.995^(_xlpm.c-1)))))*U$18*8760</f>
        <v>36537.017262138033</v>
      </c>
      <c r="V124" s="273" cm="1">
        <f t="array" ref="V124">NPV(jurisdiction.discount_rate,_xlfn.MAKEARRAY(1,V$16,_xlfn.LAMBDA(_xlpm.r,_xlpm.c,(0.995^(_xlpm.c-1)))))*V$18*8760</f>
        <v>36599.150560263959</v>
      </c>
      <c r="W124" s="273" cm="1">
        <f t="array" ref="W124">NPV(jurisdiction.discount_rate,_xlfn.MAKEARRAY(1,W$16,_xlfn.LAMBDA(_xlpm.r,_xlpm.c,(0.995^(_xlpm.c-1)))))*W$18*8760</f>
        <v>37077.940156072269</v>
      </c>
      <c r="X124" s="273" cm="1">
        <f t="array" ref="X124">NPV(jurisdiction.discount_rate,_xlfn.MAKEARRAY(1,X$16,_xlfn.LAMBDA(_xlpm.r,_xlpm.c,(0.995^(_xlpm.c-1)))))*X$18*8760</f>
        <v>37543.4223449567</v>
      </c>
      <c r="AB124" s="12">
        <v>118</v>
      </c>
      <c r="AC124" s="18" t="s">
        <v>106</v>
      </c>
      <c r="AD124" s="18"/>
    </row>
    <row r="125" spans="5:30" x14ac:dyDescent="0.2">
      <c r="E125" t="s">
        <v>196</v>
      </c>
      <c r="J125" s="160" t="s">
        <v>107</v>
      </c>
      <c r="K125" s="287">
        <f>K123/K124</f>
        <v>0.2294753143861</v>
      </c>
      <c r="L125" s="287">
        <f t="shared" ref="L125:X125" si="29">L123/L124</f>
        <v>0.21158089721358725</v>
      </c>
      <c r="M125" s="287">
        <f t="shared" si="29"/>
        <v>0.19868554787216697</v>
      </c>
      <c r="N125" s="287">
        <f t="shared" si="29"/>
        <v>0.19056438635839243</v>
      </c>
      <c r="O125" s="287">
        <f t="shared" si="29"/>
        <v>0.18172394024218502</v>
      </c>
      <c r="P125" s="287">
        <f t="shared" si="29"/>
        <v>0.17476977645964301</v>
      </c>
      <c r="Q125" s="287">
        <f t="shared" si="29"/>
        <v>0.16869999555728465</v>
      </c>
      <c r="R125" s="287">
        <f t="shared" si="29"/>
        <v>0.16488536793097391</v>
      </c>
      <c r="S125" s="287">
        <f t="shared" si="29"/>
        <v>0.15994619862231207</v>
      </c>
      <c r="T125" s="287">
        <f t="shared" si="29"/>
        <v>0.15568736898960342</v>
      </c>
      <c r="U125" s="287">
        <f t="shared" si="29"/>
        <v>0.151837338658524</v>
      </c>
      <c r="V125" s="287">
        <f t="shared" si="29"/>
        <v>0.14951868202189131</v>
      </c>
      <c r="W125" s="287">
        <f t="shared" si="29"/>
        <v>0.14623092919482641</v>
      </c>
      <c r="X125" s="287">
        <f t="shared" si="29"/>
        <v>0.1426537087294871</v>
      </c>
      <c r="AB125" s="12">
        <v>119</v>
      </c>
      <c r="AC125" s="18" t="s">
        <v>108</v>
      </c>
      <c r="AD125" s="18"/>
    </row>
    <row r="126" spans="5:30" x14ac:dyDescent="0.2">
      <c r="E126" t="s">
        <v>197</v>
      </c>
    </row>
    <row r="127" spans="5:30" x14ac:dyDescent="0.2">
      <c r="E127" t="s">
        <v>198</v>
      </c>
    </row>
    <row r="128" spans="5:30" x14ac:dyDescent="0.2">
      <c r="E128" t="s">
        <v>199</v>
      </c>
    </row>
  </sheetData>
  <mergeCells count="1">
    <mergeCell ref="B3:E3"/>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ED4C0-97E1-49EE-86A8-20D8B2D11DCD}">
  <dimension ref="B1:AH119"/>
  <sheetViews>
    <sheetView topLeftCell="A15" workbookViewId="0">
      <selection activeCell="I41" sqref="I41"/>
    </sheetView>
  </sheetViews>
  <sheetFormatPr baseColWidth="10" defaultColWidth="8.83203125" defaultRowHeight="16" x14ac:dyDescent="0.2"/>
  <cols>
    <col min="1" max="1" width="2.6640625" customWidth="1"/>
    <col min="2" max="2" width="2.6640625" style="3" customWidth="1"/>
    <col min="3" max="3" width="2.6640625" style="4" customWidth="1"/>
    <col min="4" max="4" width="2.6640625" style="2" customWidth="1"/>
    <col min="5" max="5" width="20.6640625" customWidth="1"/>
    <col min="6" max="6" width="2.6640625" style="19" customWidth="1"/>
    <col min="7" max="7" width="2.6640625" style="13" customWidth="1"/>
    <col min="8" max="9" width="2.6640625" style="19" customWidth="1"/>
    <col min="10" max="10" width="44.6640625" style="205" bestFit="1" customWidth="1"/>
    <col min="11" max="11" width="10.5" style="21" customWidth="1"/>
    <col min="12" max="12" width="12.5" style="21" bestFit="1" customWidth="1"/>
    <col min="13" max="13" width="12.5" style="21" customWidth="1"/>
    <col min="14" max="24" width="11.5" style="21" customWidth="1"/>
    <col min="25" max="28" width="2.6640625" customWidth="1"/>
    <col min="29" max="29" width="32.5" style="45" customWidth="1"/>
    <col min="30" max="30" width="27.33203125" style="45" customWidth="1"/>
  </cols>
  <sheetData>
    <row r="1" spans="2:32" ht="21" x14ac:dyDescent="0.25">
      <c r="B1" s="5" t="str">
        <f>"Wind Cost Forecast for " &amp;selected.location</f>
        <v>Wind Cost Forecast for Ontario</v>
      </c>
    </row>
    <row r="2" spans="2:32" ht="19" x14ac:dyDescent="0.25">
      <c r="B2" s="1" t="str">
        <f>_Cover!B14</f>
        <v>Renewable Cost Forecast</v>
      </c>
      <c r="K2" s="194"/>
    </row>
    <row r="3" spans="2:32" ht="15" x14ac:dyDescent="0.2">
      <c r="B3" s="331" t="str">
        <f ca="1">HYPERLINK("#"&amp;CELL("address", _Contents!B3 ), "Go to Table of Contents")</f>
        <v>Go to Table of Contents</v>
      </c>
      <c r="C3" s="331"/>
      <c r="D3" s="331"/>
      <c r="E3" s="331"/>
    </row>
    <row r="4" spans="2:32" x14ac:dyDescent="0.2">
      <c r="K4" s="22">
        <v>2022</v>
      </c>
      <c r="L4" s="22">
        <v>2023</v>
      </c>
      <c r="M4" s="22">
        <v>2024</v>
      </c>
      <c r="N4" s="22">
        <v>2025</v>
      </c>
      <c r="O4" s="22">
        <v>2026</v>
      </c>
      <c r="P4" s="22">
        <v>2027</v>
      </c>
      <c r="Q4" s="22">
        <v>2028</v>
      </c>
      <c r="R4" s="22">
        <v>2029</v>
      </c>
      <c r="S4" s="22">
        <v>2030</v>
      </c>
      <c r="T4" s="22">
        <v>2031</v>
      </c>
      <c r="U4" s="22">
        <v>2032</v>
      </c>
      <c r="V4" s="22">
        <v>2033</v>
      </c>
      <c r="W4" s="22">
        <v>2034</v>
      </c>
      <c r="X4" s="22">
        <v>2035</v>
      </c>
      <c r="AC4" s="49" t="s">
        <v>27</v>
      </c>
      <c r="AD4" s="50"/>
    </row>
    <row r="6" spans="2:32" x14ac:dyDescent="0.2">
      <c r="F6" s="156" t="str">
        <f>"Results - "&amp;selected.location&amp;" Real 2022$CA"</f>
        <v>Results - Ontario Real 2022$CA</v>
      </c>
      <c r="AB6" s="12">
        <f t="shared" ref="AB6:AB37" si="0">ROW(B1)</f>
        <v>1</v>
      </c>
      <c r="AC6" s="18"/>
    </row>
    <row r="7" spans="2:32" x14ac:dyDescent="0.2">
      <c r="J7" s="14" t="s">
        <v>30</v>
      </c>
      <c r="K7" s="153" cm="1">
        <f t="array" ref="K7:X7">K18:X18*1000/K11:X11</f>
        <v>2005.6968432298672</v>
      </c>
      <c r="L7" s="153">
        <v>1955.1678847441244</v>
      </c>
      <c r="M7" s="153">
        <v>1901.6310064283089</v>
      </c>
      <c r="N7" s="153">
        <v>1844.2161260273269</v>
      </c>
      <c r="O7" s="153">
        <v>1782.0768551253848</v>
      </c>
      <c r="P7" s="153">
        <v>1749.4175821849865</v>
      </c>
      <c r="Q7" s="153">
        <v>1711.9258085455492</v>
      </c>
      <c r="R7" s="153">
        <v>1668.8915480631126</v>
      </c>
      <c r="S7" s="153">
        <v>1619.7152920118656</v>
      </c>
      <c r="T7" s="153">
        <v>1563.9474838206327</v>
      </c>
      <c r="U7" s="153">
        <v>1538.8593395275416</v>
      </c>
      <c r="V7" s="153">
        <v>1469.489948244066</v>
      </c>
      <c r="W7" s="153">
        <v>1431.8710468849861</v>
      </c>
      <c r="X7" s="153">
        <v>1355.824227631364</v>
      </c>
      <c r="AB7" s="12">
        <f t="shared" si="0"/>
        <v>2</v>
      </c>
      <c r="AC7" s="18" t="s">
        <v>29</v>
      </c>
      <c r="AD7" s="51"/>
    </row>
    <row r="8" spans="2:32" x14ac:dyDescent="0.2">
      <c r="J8" s="14" t="s">
        <v>32</v>
      </c>
      <c r="K8" s="153" cm="1">
        <f t="array" ref="K8:X8">K19:X19*1000/K11:X11</f>
        <v>71.626568385061177</v>
      </c>
      <c r="L8" s="153">
        <v>67.796026534781902</v>
      </c>
      <c r="M8" s="153">
        <v>64.023402163902233</v>
      </c>
      <c r="N8" s="153">
        <v>60.308695272422192</v>
      </c>
      <c r="O8" s="153">
        <v>56.651905860341792</v>
      </c>
      <c r="P8" s="153">
        <v>54.085340742511235</v>
      </c>
      <c r="Q8" s="153">
        <v>51.55738727761377</v>
      </c>
      <c r="R8" s="153">
        <v>49.068045465649377</v>
      </c>
      <c r="S8" s="153">
        <v>46.617315306618075</v>
      </c>
      <c r="T8" s="153">
        <v>44.318189512644878</v>
      </c>
      <c r="U8" s="153">
        <v>43.036337014949346</v>
      </c>
      <c r="V8" s="153">
        <v>40.785949494921539</v>
      </c>
      <c r="W8" s="153">
        <v>39.538910050044144</v>
      </c>
      <c r="X8" s="153">
        <v>37.33726080396174</v>
      </c>
      <c r="AB8" s="12">
        <f t="shared" si="0"/>
        <v>3</v>
      </c>
      <c r="AC8" s="18" t="s">
        <v>31</v>
      </c>
      <c r="AD8" s="51"/>
    </row>
    <row r="9" spans="2:32" x14ac:dyDescent="0.2">
      <c r="J9" s="14" t="s">
        <v>34</v>
      </c>
      <c r="K9" s="152" cm="1">
        <f t="array" ref="K9:X9">K85:X85</f>
        <v>5.2017492710333423E-2</v>
      </c>
      <c r="L9" s="152">
        <v>4.9513233520065793E-2</v>
      </c>
      <c r="M9" s="152">
        <v>4.7610584576763711E-2</v>
      </c>
      <c r="N9" s="152">
        <v>4.5122695197836356E-2</v>
      </c>
      <c r="O9" s="152">
        <v>4.3138643423956041E-2</v>
      </c>
      <c r="P9" s="152">
        <v>4.1431182066047602E-2</v>
      </c>
      <c r="Q9" s="152">
        <v>3.9711967531764515E-2</v>
      </c>
      <c r="R9" s="152">
        <v>3.8373138567489376E-2</v>
      </c>
      <c r="S9" s="152">
        <v>3.6564460554008527E-2</v>
      </c>
      <c r="T9" s="152">
        <v>3.510744615257648E-2</v>
      </c>
      <c r="U9" s="152">
        <v>3.40320820699202E-2</v>
      </c>
      <c r="V9" s="152">
        <v>3.2409390925978179E-2</v>
      </c>
      <c r="W9" s="152">
        <v>3.1215973375792318E-2</v>
      </c>
      <c r="X9" s="152">
        <v>2.8755383054468512E-2</v>
      </c>
      <c r="AB9" s="12">
        <f t="shared" si="0"/>
        <v>4</v>
      </c>
      <c r="AC9" s="18" t="s">
        <v>169</v>
      </c>
      <c r="AD9" s="51"/>
    </row>
    <row r="10" spans="2:32" x14ac:dyDescent="0.2">
      <c r="F10" s="156" t="str">
        <f>"System Specifications- "&amp;selected.location</f>
        <v>System Specifications- Ontario</v>
      </c>
      <c r="AB10" s="12">
        <f t="shared" si="0"/>
        <v>5</v>
      </c>
      <c r="AC10" s="18"/>
    </row>
    <row r="11" spans="2:32" x14ac:dyDescent="0.2">
      <c r="F11" s="157"/>
      <c r="J11" s="205" t="s">
        <v>200</v>
      </c>
      <c r="K11" s="24">
        <v>200</v>
      </c>
      <c r="L11" s="24">
        <v>200</v>
      </c>
      <c r="M11" s="24">
        <v>200</v>
      </c>
      <c r="N11" s="24">
        <v>200</v>
      </c>
      <c r="O11" s="24">
        <v>200</v>
      </c>
      <c r="P11" s="24">
        <v>200</v>
      </c>
      <c r="Q11" s="24">
        <v>200</v>
      </c>
      <c r="R11" s="24">
        <v>200</v>
      </c>
      <c r="S11" s="24">
        <v>200</v>
      </c>
      <c r="T11" s="24">
        <v>200</v>
      </c>
      <c r="U11" s="24">
        <v>200</v>
      </c>
      <c r="V11" s="24">
        <v>200</v>
      </c>
      <c r="W11" s="24">
        <v>200</v>
      </c>
      <c r="X11" s="24">
        <v>200</v>
      </c>
      <c r="AB11" s="12">
        <f t="shared" si="0"/>
        <v>6</v>
      </c>
      <c r="AC11" s="18" t="s">
        <v>36</v>
      </c>
    </row>
    <row r="12" spans="2:32" x14ac:dyDescent="0.2">
      <c r="F12" s="157"/>
      <c r="J12" s="205" t="s">
        <v>201</v>
      </c>
      <c r="K12" s="27">
        <f>0.0011*(K$4-2016)^2+0.1573*(K$4-2016)+2.1287</f>
        <v>3.1120999999999999</v>
      </c>
      <c r="L12" s="27">
        <f t="shared" ref="L12:X12" si="1">0.0011*(L$4-2016)^2+0.1573*(L$4-2016)+2.1287</f>
        <v>3.2836999999999996</v>
      </c>
      <c r="M12" s="27">
        <f t="shared" si="1"/>
        <v>3.4574999999999996</v>
      </c>
      <c r="N12" s="27">
        <f t="shared" si="1"/>
        <v>3.6334999999999997</v>
      </c>
      <c r="O12" s="27">
        <f t="shared" si="1"/>
        <v>3.8117000000000001</v>
      </c>
      <c r="P12" s="27">
        <f t="shared" si="1"/>
        <v>3.9920999999999998</v>
      </c>
      <c r="Q12" s="27">
        <f t="shared" si="1"/>
        <v>4.1746999999999996</v>
      </c>
      <c r="R12" s="27">
        <f t="shared" si="1"/>
        <v>4.3595000000000006</v>
      </c>
      <c r="S12" s="27">
        <f t="shared" si="1"/>
        <v>4.5465</v>
      </c>
      <c r="T12" s="27">
        <f t="shared" si="1"/>
        <v>4.7356999999999996</v>
      </c>
      <c r="U12" s="27">
        <f t="shared" si="1"/>
        <v>4.9270999999999994</v>
      </c>
      <c r="V12" s="27">
        <f t="shared" si="1"/>
        <v>5.1206999999999994</v>
      </c>
      <c r="W12" s="27">
        <f t="shared" si="1"/>
        <v>5.3164999999999996</v>
      </c>
      <c r="X12" s="27">
        <f t="shared" si="1"/>
        <v>5.5145</v>
      </c>
      <c r="AB12" s="12">
        <f t="shared" si="0"/>
        <v>7</v>
      </c>
      <c r="AC12" s="18" t="s">
        <v>202</v>
      </c>
      <c r="AD12" s="51"/>
    </row>
    <row r="13" spans="2:32" x14ac:dyDescent="0.2">
      <c r="F13" s="157"/>
      <c r="J13" s="205" t="s">
        <v>203</v>
      </c>
      <c r="K13" s="24" cm="1">
        <f t="array" ref="K13:X13">ROUND(wind_selected.plant.capacity/wind_selected.turbine.capacity,0)</f>
        <v>64</v>
      </c>
      <c r="L13" s="24">
        <v>61</v>
      </c>
      <c r="M13" s="24">
        <v>58</v>
      </c>
      <c r="N13" s="24">
        <v>55</v>
      </c>
      <c r="O13" s="24">
        <v>52</v>
      </c>
      <c r="P13" s="24">
        <v>50</v>
      </c>
      <c r="Q13" s="24">
        <v>48</v>
      </c>
      <c r="R13" s="24">
        <v>46</v>
      </c>
      <c r="S13" s="24">
        <v>44</v>
      </c>
      <c r="T13" s="24">
        <v>42</v>
      </c>
      <c r="U13" s="24">
        <v>41</v>
      </c>
      <c r="V13" s="24">
        <v>39</v>
      </c>
      <c r="W13" s="24">
        <v>38</v>
      </c>
      <c r="X13" s="24">
        <v>36</v>
      </c>
      <c r="AB13" s="12">
        <f t="shared" si="0"/>
        <v>8</v>
      </c>
      <c r="AC13" s="18" t="s">
        <v>204</v>
      </c>
    </row>
    <row r="14" spans="2:32" x14ac:dyDescent="0.2">
      <c r="G14" s="12"/>
      <c r="J14" s="205" t="s">
        <v>43</v>
      </c>
      <c r="K14" s="23" cm="1">
        <f t="array" ref="K14:X14">wind_project_life</f>
        <v>30</v>
      </c>
      <c r="L14" s="23">
        <v>31</v>
      </c>
      <c r="M14" s="23">
        <v>31</v>
      </c>
      <c r="N14" s="23">
        <v>32</v>
      </c>
      <c r="O14" s="23">
        <v>32</v>
      </c>
      <c r="P14" s="23">
        <v>33</v>
      </c>
      <c r="Q14" s="23">
        <v>34</v>
      </c>
      <c r="R14" s="23">
        <v>34</v>
      </c>
      <c r="S14" s="23">
        <v>35</v>
      </c>
      <c r="T14" s="23">
        <v>35</v>
      </c>
      <c r="U14" s="23">
        <v>36</v>
      </c>
      <c r="V14" s="23">
        <v>36</v>
      </c>
      <c r="W14" s="23">
        <v>37</v>
      </c>
      <c r="X14" s="23">
        <v>40</v>
      </c>
      <c r="AB14" s="12">
        <f t="shared" si="0"/>
        <v>9</v>
      </c>
      <c r="AC14" s="18" t="s">
        <v>202</v>
      </c>
      <c r="AD14" s="51"/>
    </row>
    <row r="15" spans="2:32" x14ac:dyDescent="0.2">
      <c r="G15" s="12"/>
      <c r="J15" s="205" t="s">
        <v>205</v>
      </c>
      <c r="K15" s="41" cm="1">
        <f t="array" ref="K15">INDEX(jurisdictional_inputs,_xlfn.XMATCH($J$15,jurisdictional_inputs_rows),_xlfn.XMATCH(selected.location,jurisdictions))</f>
        <v>0.4</v>
      </c>
      <c r="L15" s="41" cm="1">
        <f t="array" ref="L15">INDEX(jurisdictional_inputs,_xlfn.XMATCH($J$15,jurisdictional_inputs_rows),_xlfn.XMATCH(selected.location,jurisdictions))</f>
        <v>0.4</v>
      </c>
      <c r="M15" s="41" cm="1">
        <f t="array" ref="M15">INDEX(jurisdictional_inputs,_xlfn.XMATCH($J$15,jurisdictional_inputs_rows),_xlfn.XMATCH(selected.location,jurisdictions))</f>
        <v>0.4</v>
      </c>
      <c r="N15" s="41" cm="1">
        <f t="array" ref="N15">INDEX(jurisdictional_inputs,_xlfn.XMATCH($J$15,jurisdictional_inputs_rows),_xlfn.XMATCH(selected.location,jurisdictions))</f>
        <v>0.4</v>
      </c>
      <c r="O15" s="41" cm="1">
        <f t="array" ref="O15">INDEX(jurisdictional_inputs,_xlfn.XMATCH($J$15,jurisdictional_inputs_rows),_xlfn.XMATCH(selected.location,jurisdictions))</f>
        <v>0.4</v>
      </c>
      <c r="P15" s="41" cm="1">
        <f t="array" ref="P15">INDEX(jurisdictional_inputs,_xlfn.XMATCH($J$15,jurisdictional_inputs_rows),_xlfn.XMATCH(selected.location,jurisdictions))</f>
        <v>0.4</v>
      </c>
      <c r="Q15" s="41" cm="1">
        <f t="array" ref="Q15">INDEX(jurisdictional_inputs,_xlfn.XMATCH($J$15,jurisdictional_inputs_rows),_xlfn.XMATCH(selected.location,jurisdictions))</f>
        <v>0.4</v>
      </c>
      <c r="R15" s="41" cm="1">
        <f t="array" ref="R15">INDEX(jurisdictional_inputs,_xlfn.XMATCH($J$15,jurisdictional_inputs_rows),_xlfn.XMATCH(selected.location,jurisdictions))</f>
        <v>0.4</v>
      </c>
      <c r="S15" s="41" cm="1">
        <f t="array" ref="S15">INDEX(jurisdictional_inputs,_xlfn.XMATCH($J$15,jurisdictional_inputs_rows),_xlfn.XMATCH(selected.location,jurisdictions))</f>
        <v>0.4</v>
      </c>
      <c r="T15" s="41" cm="1">
        <f t="array" ref="T15">INDEX(jurisdictional_inputs,_xlfn.XMATCH($J$15,jurisdictional_inputs_rows),_xlfn.XMATCH(selected.location,jurisdictions))</f>
        <v>0.4</v>
      </c>
      <c r="U15" s="41" cm="1">
        <f t="array" ref="U15">INDEX(jurisdictional_inputs,_xlfn.XMATCH($J$15,jurisdictional_inputs_rows),_xlfn.XMATCH(selected.location,jurisdictions))</f>
        <v>0.4</v>
      </c>
      <c r="V15" s="41" cm="1">
        <f t="array" ref="V15">INDEX(jurisdictional_inputs,_xlfn.XMATCH($J$15,jurisdictional_inputs_rows),_xlfn.XMATCH(selected.location,jurisdictions))</f>
        <v>0.4</v>
      </c>
      <c r="W15" s="41" cm="1">
        <f t="array" ref="W15">INDEX(jurisdictional_inputs,_xlfn.XMATCH($J$15,jurisdictional_inputs_rows),_xlfn.XMATCH(selected.location,jurisdictions))</f>
        <v>0.4</v>
      </c>
      <c r="X15" s="41" cm="1">
        <f t="array" ref="X15">INDEX(jurisdictional_inputs,_xlfn.XMATCH($J$15,jurisdictional_inputs_rows),_xlfn.XMATCH(selected.location,jurisdictions))</f>
        <v>0.4</v>
      </c>
      <c r="AB15" s="12">
        <f t="shared" si="0"/>
        <v>10</v>
      </c>
      <c r="AC15" s="18" t="s">
        <v>70</v>
      </c>
      <c r="AD15" s="51"/>
      <c r="AF15" s="205"/>
    </row>
    <row r="16" spans="2:32" x14ac:dyDescent="0.2">
      <c r="F16" s="157"/>
      <c r="AB16" s="12">
        <f t="shared" si="0"/>
        <v>11</v>
      </c>
      <c r="AC16" s="18"/>
      <c r="AD16" s="51"/>
      <c r="AF16" s="205"/>
    </row>
    <row r="17" spans="5:34" x14ac:dyDescent="0.2">
      <c r="F17" s="156" t="s">
        <v>45</v>
      </c>
      <c r="K17" s="23"/>
      <c r="AB17" s="12">
        <f t="shared" si="0"/>
        <v>12</v>
      </c>
      <c r="AC17" s="18"/>
      <c r="AD17" s="51"/>
      <c r="AF17" s="205"/>
    </row>
    <row r="18" spans="5:34" x14ac:dyDescent="0.2">
      <c r="G18" s="12"/>
      <c r="J18" s="236" t="s">
        <v>46</v>
      </c>
      <c r="K18" s="162" cm="1">
        <f t="array" ref="K18:X18">wind.total.capex_equip_CADmil
+wind.total.capex_install_CADmil
+wind.total.capex_soft_CADmil</f>
        <v>401.13936864597343</v>
      </c>
      <c r="L18" s="162">
        <v>391.03357694882487</v>
      </c>
      <c r="M18" s="162">
        <v>380.3262012856618</v>
      </c>
      <c r="N18" s="162">
        <v>368.84322520546539</v>
      </c>
      <c r="O18" s="162">
        <v>356.41537102507698</v>
      </c>
      <c r="P18" s="162">
        <v>349.8835164369973</v>
      </c>
      <c r="Q18" s="162">
        <v>342.38516170910987</v>
      </c>
      <c r="R18" s="162">
        <v>333.77830961262254</v>
      </c>
      <c r="S18" s="162">
        <v>323.94305840237308</v>
      </c>
      <c r="T18" s="162">
        <v>312.78949676412651</v>
      </c>
      <c r="U18" s="162">
        <v>307.77186790550832</v>
      </c>
      <c r="V18" s="162">
        <v>293.89798964881322</v>
      </c>
      <c r="W18" s="162">
        <v>286.37420937699721</v>
      </c>
      <c r="X18" s="162">
        <v>271.16484552627276</v>
      </c>
      <c r="AB18" s="12">
        <f t="shared" si="0"/>
        <v>13</v>
      </c>
      <c r="AC18" s="18" t="s">
        <v>206</v>
      </c>
      <c r="AD18" s="51"/>
      <c r="AF18" s="205"/>
    </row>
    <row r="19" spans="5:34" x14ac:dyDescent="0.2">
      <c r="G19" s="12"/>
      <c r="J19" s="236" t="s">
        <v>48</v>
      </c>
      <c r="K19" s="162" cm="1">
        <f t="array" ref="K19:X19">_xlfn.ANCHORARRAY(K42)</f>
        <v>14.325313677012236</v>
      </c>
      <c r="L19" s="162">
        <v>13.559205306956381</v>
      </c>
      <c r="M19" s="162">
        <v>12.804680432780447</v>
      </c>
      <c r="N19" s="162">
        <v>12.061739054484438</v>
      </c>
      <c r="O19" s="162">
        <v>11.330381172068359</v>
      </c>
      <c r="P19" s="162">
        <v>10.817068148502248</v>
      </c>
      <c r="Q19" s="162">
        <v>10.311477455522754</v>
      </c>
      <c r="R19" s="162">
        <v>9.8136090931298749</v>
      </c>
      <c r="S19" s="162">
        <v>9.3234630613236149</v>
      </c>
      <c r="T19" s="162">
        <v>8.8636379025289749</v>
      </c>
      <c r="U19" s="162">
        <v>8.6072674029898693</v>
      </c>
      <c r="V19" s="162">
        <v>8.1571898989843081</v>
      </c>
      <c r="W19" s="162">
        <v>7.9077820100088285</v>
      </c>
      <c r="X19" s="162">
        <v>7.4674521607923481</v>
      </c>
      <c r="AB19" s="12">
        <f t="shared" si="0"/>
        <v>14</v>
      </c>
      <c r="AC19" s="18" t="s">
        <v>49</v>
      </c>
      <c r="AD19" s="51"/>
      <c r="AF19" s="205"/>
    </row>
    <row r="20" spans="5:34" x14ac:dyDescent="0.2">
      <c r="G20" s="12"/>
      <c r="J20" s="206"/>
      <c r="K20" s="26"/>
      <c r="L20" s="26"/>
      <c r="M20" s="26"/>
      <c r="N20" s="26"/>
      <c r="O20" s="26"/>
      <c r="P20" s="26"/>
      <c r="Q20" s="26"/>
      <c r="R20" s="26"/>
      <c r="S20" s="26"/>
      <c r="T20" s="26"/>
      <c r="U20" s="26"/>
      <c r="V20" s="26"/>
      <c r="W20" s="26"/>
      <c r="X20" s="26"/>
      <c r="AB20" s="12">
        <f t="shared" si="0"/>
        <v>15</v>
      </c>
      <c r="AC20" s="18"/>
      <c r="AD20" s="51"/>
    </row>
    <row r="21" spans="5:34" x14ac:dyDescent="0.2">
      <c r="F21" s="156" t="s">
        <v>50</v>
      </c>
      <c r="G21" s="19"/>
      <c r="H21" s="12"/>
      <c r="K21" s="152"/>
      <c r="L21" s="152"/>
      <c r="M21" s="152"/>
      <c r="N21" s="152"/>
      <c r="O21" s="152"/>
      <c r="P21" s="152"/>
      <c r="Q21" s="152"/>
      <c r="R21" s="152"/>
      <c r="S21" s="152"/>
      <c r="T21" s="152"/>
      <c r="U21" s="152"/>
      <c r="V21" s="152"/>
      <c r="W21" s="152"/>
      <c r="X21" s="152"/>
      <c r="AB21" s="12">
        <f t="shared" si="0"/>
        <v>16</v>
      </c>
      <c r="AC21" s="18"/>
      <c r="AD21" s="51"/>
    </row>
    <row r="22" spans="5:34" x14ac:dyDescent="0.2">
      <c r="G22" s="19" t="str">
        <f>"CAPEX (2022$M) - "&amp;selected.location</f>
        <v>CAPEX (2022$M) - Ontario</v>
      </c>
      <c r="K22" s="152"/>
      <c r="AB22" s="12">
        <f t="shared" si="0"/>
        <v>17</v>
      </c>
      <c r="AC22" s="18"/>
      <c r="AD22" s="51"/>
    </row>
    <row r="23" spans="5:34" x14ac:dyDescent="0.2">
      <c r="H23" s="19" t="str">
        <f>"Equipment (2022$M)"&amp;IF(ITC.toggle="Yes"," - ITC Enabled","")</f>
        <v>Equipment (2022$M)</v>
      </c>
      <c r="I23" s="43"/>
      <c r="K23" s="151" cm="1">
        <f t="array" ref="K23:X23">(_xlfn.ANCHORARRAY(K25)+_xlfn.ANCHORARRAY(K26)+_xlfn.ANCHORARRAY(K27)+_xlfn.ANCHORARRAY(K28)+_xlfn.ANCHORARRAY(K29))*IF(ITC.toggle="Yes",(1-Forecast.ITC.Equipment),1)</f>
        <v>254.05354269140369</v>
      </c>
      <c r="L23" s="151">
        <v>249.02944286937816</v>
      </c>
      <c r="M23" s="151">
        <v>243.53158844111954</v>
      </c>
      <c r="N23" s="151">
        <v>237.41807104790021</v>
      </c>
      <c r="O23" s="151">
        <v>230.55088078838054</v>
      </c>
      <c r="P23" s="151">
        <v>227.34923594402565</v>
      </c>
      <c r="Q23" s="151">
        <v>223.36887989949503</v>
      </c>
      <c r="R23" s="151">
        <v>218.49394130584841</v>
      </c>
      <c r="S23" s="151">
        <v>212.62665813782004</v>
      </c>
      <c r="T23" s="151">
        <v>205.693844337917</v>
      </c>
      <c r="U23" s="151">
        <v>202.59438665637038</v>
      </c>
      <c r="V23" s="151">
        <v>193.45860062323328</v>
      </c>
      <c r="W23" s="151">
        <v>188.32281092938189</v>
      </c>
      <c r="X23" s="151">
        <v>178.11988734275238</v>
      </c>
      <c r="AB23" s="12">
        <f t="shared" si="0"/>
        <v>18</v>
      </c>
      <c r="AC23" s="18"/>
      <c r="AD23" s="51"/>
    </row>
    <row r="24" spans="5:34" x14ac:dyDescent="0.2">
      <c r="E24" s="152"/>
      <c r="G24" s="19"/>
      <c r="H24" s="12"/>
      <c r="I24" s="19" t="s">
        <v>207</v>
      </c>
      <c r="AB24" s="12">
        <f t="shared" si="0"/>
        <v>19</v>
      </c>
      <c r="AC24" s="18"/>
      <c r="AD24" s="51"/>
    </row>
    <row r="25" spans="5:34" x14ac:dyDescent="0.2">
      <c r="E25" s="267"/>
      <c r="G25" s="12"/>
      <c r="J25" s="207" t="s">
        <v>208</v>
      </c>
      <c r="K25" s="155" cm="1">
        <f t="array" ref="K25:X25">_xlfn.ANCHORARRAY(K57)*wind_selected.num.turbine</f>
        <v>48.12204473226749</v>
      </c>
      <c r="L25" s="155">
        <v>50.253075179378804</v>
      </c>
      <c r="M25" s="155">
        <v>52.218067917919754</v>
      </c>
      <c r="N25" s="155">
        <v>53.890846817742315</v>
      </c>
      <c r="O25" s="155">
        <v>55.14730551454015</v>
      </c>
      <c r="P25" s="155">
        <v>57.01080439768662</v>
      </c>
      <c r="Q25" s="155">
        <v>58.389870512084286</v>
      </c>
      <c r="R25" s="155">
        <v>59.181680663410781</v>
      </c>
      <c r="S25" s="155">
        <v>59.297474885265544</v>
      </c>
      <c r="T25" s="155">
        <v>58.667845208924561</v>
      </c>
      <c r="U25" s="155">
        <v>58.678976386482795</v>
      </c>
      <c r="V25" s="155">
        <v>56.469105222097788</v>
      </c>
      <c r="W25" s="155">
        <v>55.021179447172202</v>
      </c>
      <c r="X25" s="155">
        <v>52.125327897321036</v>
      </c>
      <c r="AB25" s="12">
        <f t="shared" si="0"/>
        <v>20</v>
      </c>
      <c r="AC25" s="18" t="s">
        <v>209</v>
      </c>
      <c r="AD25" s="51"/>
    </row>
    <row r="26" spans="5:34" x14ac:dyDescent="0.2">
      <c r="E26" s="267"/>
      <c r="G26" s="43"/>
      <c r="H26" s="43"/>
      <c r="J26" s="208" t="s">
        <v>210</v>
      </c>
      <c r="K26" s="155" cm="1">
        <f t="array" ref="K26:X26">(_xlfn.ANCHORARRAY(K58)+_xlfn.ANCHORARRAY(K59))*wind_selected.num.turbine</f>
        <v>29.747404690276696</v>
      </c>
      <c r="L26" s="155">
        <v>28.352995095419974</v>
      </c>
      <c r="M26" s="155">
        <v>26.958585500563256</v>
      </c>
      <c r="N26" s="155">
        <v>25.564175905706534</v>
      </c>
      <c r="O26" s="155">
        <v>24.169766310849816</v>
      </c>
      <c r="P26" s="155">
        <v>23.240159914278667</v>
      </c>
      <c r="Q26" s="155">
        <v>22.310553517707522</v>
      </c>
      <c r="R26" s="155">
        <v>21.380947121136376</v>
      </c>
      <c r="S26" s="155">
        <v>20.451340724565227</v>
      </c>
      <c r="T26" s="155">
        <v>19.521734327994082</v>
      </c>
      <c r="U26" s="155">
        <v>19.056931129708509</v>
      </c>
      <c r="V26" s="155">
        <v>18.12732473313736</v>
      </c>
      <c r="W26" s="155">
        <v>17.662521534851788</v>
      </c>
      <c r="X26" s="155">
        <v>16.732915138280642</v>
      </c>
      <c r="AB26" s="12">
        <f t="shared" si="0"/>
        <v>21</v>
      </c>
      <c r="AC26" s="18" t="s">
        <v>211</v>
      </c>
      <c r="AD26" s="51"/>
    </row>
    <row r="27" spans="5:34" x14ac:dyDescent="0.2">
      <c r="E27" s="267"/>
      <c r="G27" s="12"/>
      <c r="J27" s="207" t="s">
        <v>212</v>
      </c>
      <c r="K27" s="155" cm="1">
        <f t="array" ref="K27:X27">_xlfn.ANCHORARRAY(K62)*wind_selected.num.turbine</f>
        <v>131.65632375282553</v>
      </c>
      <c r="L27" s="155">
        <v>126.12207392227667</v>
      </c>
      <c r="M27" s="155">
        <v>120.35153777074683</v>
      </c>
      <c r="N27" s="155">
        <v>114.36508252290893</v>
      </c>
      <c r="O27" s="155">
        <v>108.18443091223544</v>
      </c>
      <c r="P27" s="155">
        <v>103.91090191190591</v>
      </c>
      <c r="Q27" s="155">
        <v>99.479314681342203</v>
      </c>
      <c r="R27" s="155">
        <v>94.9047763519781</v>
      </c>
      <c r="S27" s="155">
        <v>90.203332018925494</v>
      </c>
      <c r="T27" s="155">
        <v>85.39197986942095</v>
      </c>
      <c r="U27" s="155">
        <v>82.500903469053895</v>
      </c>
      <c r="V27" s="155">
        <v>77.499569551338269</v>
      </c>
      <c r="W27" s="155">
        <v>74.398798722350264</v>
      </c>
      <c r="X27" s="155">
        <v>69.269995343621659</v>
      </c>
      <c r="AB27" s="12">
        <f t="shared" si="0"/>
        <v>22</v>
      </c>
      <c r="AC27" s="18" t="s">
        <v>213</v>
      </c>
      <c r="AD27" s="51"/>
    </row>
    <row r="28" spans="5:34" x14ac:dyDescent="0.2">
      <c r="E28" s="267"/>
      <c r="G28" s="12"/>
      <c r="J28" s="207" t="s">
        <v>214</v>
      </c>
      <c r="K28" s="155" cm="1">
        <f t="array" ref="K28:X28">_xlfn.ANCHORARRAY(K64)*wind_selected.num.turbine</f>
        <v>44.527769516033977</v>
      </c>
      <c r="L28" s="155">
        <v>43.332124512275414</v>
      </c>
      <c r="M28" s="155">
        <v>42.101907261914484</v>
      </c>
      <c r="N28" s="155">
        <v>40.828874146240111</v>
      </c>
      <c r="O28" s="155">
        <v>39.50478154654121</v>
      </c>
      <c r="P28" s="155">
        <v>38.899373310312974</v>
      </c>
      <c r="Q28" s="155">
        <v>38.264810525452731</v>
      </c>
      <c r="R28" s="155">
        <v>37.5955974461531</v>
      </c>
      <c r="S28" s="155">
        <v>36.886238326606687</v>
      </c>
      <c r="T28" s="155">
        <v>36.131237421006105</v>
      </c>
      <c r="U28" s="155">
        <v>36.208226458132579</v>
      </c>
      <c r="V28" s="155">
        <v>35.369230617581664</v>
      </c>
      <c r="W28" s="155">
        <v>35.400616892572486</v>
      </c>
      <c r="X28" s="155">
        <v>34.459306964379962</v>
      </c>
      <c r="AB28" s="12">
        <f t="shared" si="0"/>
        <v>23</v>
      </c>
      <c r="AC28" s="18" t="s">
        <v>215</v>
      </c>
      <c r="AD28" s="51"/>
    </row>
    <row r="29" spans="5:34" x14ac:dyDescent="0.2">
      <c r="G29" s="12"/>
      <c r="J29" s="207" t="s">
        <v>216</v>
      </c>
      <c r="K29" s="155" cm="1">
        <f t="array" ref="K29:X29">_xlfn.ANCHORARRAY(K60)*wind_selected.num.turbine</f>
        <v>0</v>
      </c>
      <c r="L29" s="155">
        <v>0.96917416002730039</v>
      </c>
      <c r="M29" s="155">
        <v>1.9014899899752149</v>
      </c>
      <c r="N29" s="155">
        <v>2.7690916553022915</v>
      </c>
      <c r="O29" s="155">
        <v>3.544596504213918</v>
      </c>
      <c r="P29" s="155">
        <v>4.2879964098414911</v>
      </c>
      <c r="Q29" s="155">
        <v>4.924330662908293</v>
      </c>
      <c r="R29" s="155">
        <v>5.4309397231700283</v>
      </c>
      <c r="S29" s="155">
        <v>5.7882721824570513</v>
      </c>
      <c r="T29" s="155">
        <v>5.9810475105713055</v>
      </c>
      <c r="U29" s="155">
        <v>6.1493492129925915</v>
      </c>
      <c r="V29" s="155">
        <v>5.9933704990781944</v>
      </c>
      <c r="W29" s="155">
        <v>5.8396943324351636</v>
      </c>
      <c r="X29" s="155">
        <v>5.5323419991491027</v>
      </c>
      <c r="AB29" s="12">
        <f t="shared" si="0"/>
        <v>24</v>
      </c>
      <c r="AC29" s="18" t="s">
        <v>217</v>
      </c>
      <c r="AD29" s="51"/>
    </row>
    <row r="30" spans="5:34" x14ac:dyDescent="0.2">
      <c r="E30" s="152"/>
      <c r="F30" s="154"/>
      <c r="G30" s="12"/>
      <c r="H30" s="19" t="str">
        <f>"Installation (2022$M)"&amp;IF(ITC.toggle="Yes"," - ITC Enabled","")</f>
        <v>Installation (2022$M)</v>
      </c>
      <c r="K30" s="151" cm="1">
        <f t="array" ref="K30:X30">(_xlfn.ANCHORARRAY(K31)+_xlfn.ANCHORARRAY(K32)+_xlfn.ANCHORARRAY(K33)+_xlfn.ANCHORARRAY(K34)+_xlfn.ANCHORARRAY(K35)+_xlfn.ANCHORARRAY(K36))*IF(ITC.toggle="Yes",(1-Forecast.ITC.Installation),1)</f>
        <v>86.708767691955174</v>
      </c>
      <c r="L30" s="151">
        <v>82.922578964659522</v>
      </c>
      <c r="M30" s="151">
        <v>79.114309938511411</v>
      </c>
      <c r="N30" s="151">
        <v>75.283239810366439</v>
      </c>
      <c r="O30" s="151">
        <v>71.428627777074041</v>
      </c>
      <c r="P30" s="151">
        <v>68.928278085508566</v>
      </c>
      <c r="Q30" s="151">
        <v>66.41291655638851</v>
      </c>
      <c r="R30" s="151">
        <v>63.882041478300835</v>
      </c>
      <c r="S30" s="151">
        <v>61.335137076111067</v>
      </c>
      <c r="T30" s="151">
        <v>58.771673149098874</v>
      </c>
      <c r="U30" s="151">
        <v>57.595882317750942</v>
      </c>
      <c r="V30" s="151">
        <v>55.003210281628498</v>
      </c>
      <c r="W30" s="151">
        <v>53.808420089509042</v>
      </c>
      <c r="X30" s="151">
        <v>51.184685930419462</v>
      </c>
      <c r="AB30" s="12">
        <f t="shared" si="0"/>
        <v>25</v>
      </c>
      <c r="AC30" s="18" t="s">
        <v>218</v>
      </c>
      <c r="AD30" s="51"/>
    </row>
    <row r="31" spans="5:34" x14ac:dyDescent="0.2">
      <c r="E31" s="267"/>
      <c r="F31" s="154"/>
      <c r="G31" s="12"/>
      <c r="J31" s="205" t="s">
        <v>219</v>
      </c>
      <c r="K31" s="155" cm="1">
        <f t="array" ref="K31:X31">K67:X67*wind_selected.num.turbine</f>
        <v>4.9148800420022249</v>
      </c>
      <c r="L31" s="155">
        <v>4.7643656804659393</v>
      </c>
      <c r="M31" s="155">
        <v>4.607514041885497</v>
      </c>
      <c r="N31" s="155">
        <v>4.4441182482086266</v>
      </c>
      <c r="O31" s="155">
        <v>4.2739656811717914</v>
      </c>
      <c r="P31" s="155">
        <v>4.1804467708601472</v>
      </c>
      <c r="Q31" s="155">
        <v>4.082619305933326</v>
      </c>
      <c r="R31" s="155">
        <v>3.9803392899607681</v>
      </c>
      <c r="S31" s="155">
        <v>3.8734586900765375</v>
      </c>
      <c r="T31" s="155">
        <v>3.7618253331204787</v>
      </c>
      <c r="U31" s="155">
        <v>3.7364148692205852</v>
      </c>
      <c r="V31" s="155">
        <v>3.6163984790182715</v>
      </c>
      <c r="W31" s="155">
        <v>3.5855349995738206</v>
      </c>
      <c r="X31" s="155">
        <v>3.456603454729005</v>
      </c>
      <c r="AB31" s="12">
        <f t="shared" si="0"/>
        <v>26</v>
      </c>
      <c r="AC31" s="18" t="s">
        <v>220</v>
      </c>
      <c r="AD31" s="51"/>
    </row>
    <row r="32" spans="5:34" x14ac:dyDescent="0.2">
      <c r="E32" s="267"/>
      <c r="F32" s="154"/>
      <c r="G32" s="12"/>
      <c r="J32" s="205" t="s">
        <v>221</v>
      </c>
      <c r="K32" s="155" cm="1">
        <f t="array" ref="K32:X32">K68:X68*wind_selected.num.turbine</f>
        <v>2.9285168638414913</v>
      </c>
      <c r="L32" s="155">
        <v>2.8400893819762776</v>
      </c>
      <c r="M32" s="155">
        <v>2.747786191074074</v>
      </c>
      <c r="N32" s="155">
        <v>2.6514807700547465</v>
      </c>
      <c r="O32" s="155">
        <v>2.5510430872785723</v>
      </c>
      <c r="P32" s="155">
        <v>2.4962648068696782</v>
      </c>
      <c r="Q32" s="155">
        <v>2.4388515297670863</v>
      </c>
      <c r="R32" s="155">
        <v>2.3787151916076112</v>
      </c>
      <c r="S32" s="155">
        <v>2.3157652594522204</v>
      </c>
      <c r="T32" s="155">
        <v>2.2499086682687399</v>
      </c>
      <c r="U32" s="155">
        <v>2.2355759997578422</v>
      </c>
      <c r="V32" s="155">
        <v>2.1645925697943134</v>
      </c>
      <c r="W32" s="155">
        <v>2.146924982914276</v>
      </c>
      <c r="X32" s="155">
        <v>2.0704892829658075</v>
      </c>
      <c r="AB32" s="12">
        <f t="shared" si="0"/>
        <v>27</v>
      </c>
      <c r="AC32" s="18" t="s">
        <v>222</v>
      </c>
      <c r="AD32" s="51"/>
      <c r="AH32" s="160"/>
    </row>
    <row r="33" spans="5:34" x14ac:dyDescent="0.2">
      <c r="E33" s="267"/>
      <c r="F33" s="154"/>
      <c r="G33" s="12"/>
      <c r="J33" s="205" t="s">
        <v>223</v>
      </c>
      <c r="K33" s="155" cm="1">
        <f t="array" ref="K33:X33">K69:X69*wind_selected.num.turbine</f>
        <v>20.944044710414559</v>
      </c>
      <c r="L33" s="155">
        <v>20.042141785072335</v>
      </c>
      <c r="M33" s="155">
        <v>19.133903286205207</v>
      </c>
      <c r="N33" s="155">
        <v>18.219122391371663</v>
      </c>
      <c r="O33" s="155">
        <v>17.297586539461935</v>
      </c>
      <c r="P33" s="155">
        <v>16.703140085592104</v>
      </c>
      <c r="Q33" s="155">
        <v>16.104386235286814</v>
      </c>
      <c r="R33" s="155">
        <v>15.501181030823089</v>
      </c>
      <c r="S33" s="155">
        <v>14.893376479127623</v>
      </c>
      <c r="T33" s="155">
        <v>14.280820447945812</v>
      </c>
      <c r="U33" s="155">
        <v>14.004940473458584</v>
      </c>
      <c r="V33" s="155">
        <v>13.38400366246815</v>
      </c>
      <c r="W33" s="155">
        <v>13.102672138257869</v>
      </c>
      <c r="X33" s="155">
        <v>12.472822569101769</v>
      </c>
      <c r="AB33" s="12">
        <f t="shared" si="0"/>
        <v>28</v>
      </c>
      <c r="AC33" s="18" t="s">
        <v>224</v>
      </c>
      <c r="AD33" s="51"/>
      <c r="AH33" s="160"/>
    </row>
    <row r="34" spans="5:34" x14ac:dyDescent="0.2">
      <c r="E34" s="267"/>
      <c r="F34" s="154"/>
      <c r="G34" s="12"/>
      <c r="J34" s="205" t="s">
        <v>225</v>
      </c>
      <c r="K34" s="155" cm="1">
        <f t="array" ref="K34:X34">K70:X70*$K$13:$X$13</f>
        <v>10.916478785422642</v>
      </c>
      <c r="L34" s="155">
        <v>10.404768842355956</v>
      </c>
      <c r="M34" s="155">
        <v>9.8930588992892687</v>
      </c>
      <c r="N34" s="155">
        <v>9.3813489562225829</v>
      </c>
      <c r="O34" s="155">
        <v>8.8696390131558971</v>
      </c>
      <c r="P34" s="155">
        <v>8.5284990511114387</v>
      </c>
      <c r="Q34" s="155">
        <v>8.1873590890669821</v>
      </c>
      <c r="R34" s="155">
        <v>7.8462191270225237</v>
      </c>
      <c r="S34" s="155">
        <v>7.5050791649780662</v>
      </c>
      <c r="T34" s="155">
        <v>7.1639392029336086</v>
      </c>
      <c r="U34" s="155">
        <v>6.9933692219113803</v>
      </c>
      <c r="V34" s="155">
        <v>6.6522292598669228</v>
      </c>
      <c r="W34" s="155">
        <v>6.4816592788446936</v>
      </c>
      <c r="X34" s="155">
        <v>6.1405193168002361</v>
      </c>
      <c r="AB34" s="12">
        <f t="shared" si="0"/>
        <v>29</v>
      </c>
      <c r="AC34" s="18" t="s">
        <v>226</v>
      </c>
      <c r="AD34" s="51"/>
      <c r="AH34" s="160"/>
    </row>
    <row r="35" spans="5:34" x14ac:dyDescent="0.2">
      <c r="E35" s="267"/>
      <c r="F35" s="154"/>
      <c r="G35" s="12"/>
      <c r="J35" s="205" t="s">
        <v>227</v>
      </c>
      <c r="K35" s="155" cm="1">
        <f t="array" ref="K35:X35">K71:X71*wind_selected.num.turbine</f>
        <v>11.253379268015108</v>
      </c>
      <c r="L35" s="155">
        <v>10.795595316073275</v>
      </c>
      <c r="M35" s="155">
        <v>10.332279624885009</v>
      </c>
      <c r="N35" s="155">
        <v>9.863251612879866</v>
      </c>
      <c r="O35" s="155">
        <v>9.3883256879202879</v>
      </c>
      <c r="P35" s="155">
        <v>9.0890929786852439</v>
      </c>
      <c r="Q35" s="155">
        <v>8.7860993796399374</v>
      </c>
      <c r="R35" s="155">
        <v>8.4792191978880798</v>
      </c>
      <c r="S35" s="155">
        <v>8.1683232171734534</v>
      </c>
      <c r="T35" s="155">
        <v>7.8532786072226717</v>
      </c>
      <c r="U35" s="155">
        <v>7.7222975516427796</v>
      </c>
      <c r="V35" s="155">
        <v>7.399935484416682</v>
      </c>
      <c r="W35" s="155">
        <v>7.2641945517020119</v>
      </c>
      <c r="X35" s="155">
        <v>6.9340505443018756</v>
      </c>
      <c r="AB35" s="12">
        <f t="shared" si="0"/>
        <v>30</v>
      </c>
      <c r="AC35" s="18" t="s">
        <v>228</v>
      </c>
      <c r="AD35" s="51"/>
      <c r="AH35" s="160"/>
    </row>
    <row r="36" spans="5:34" x14ac:dyDescent="0.2">
      <c r="E36" s="267"/>
      <c r="F36" s="154"/>
      <c r="G36" s="12"/>
      <c r="J36" s="205" t="s">
        <v>229</v>
      </c>
      <c r="K36" s="155" cm="1">
        <f t="array" ref="K36:X36">K72:X72*wind_selected.num.turbine</f>
        <v>35.751468022259147</v>
      </c>
      <c r="L36" s="155">
        <v>34.075617958715746</v>
      </c>
      <c r="M36" s="155">
        <v>32.399767895172353</v>
      </c>
      <c r="N36" s="155">
        <v>30.723917831628953</v>
      </c>
      <c r="O36" s="155">
        <v>29.048067768085556</v>
      </c>
      <c r="P36" s="155">
        <v>27.930834392389958</v>
      </c>
      <c r="Q36" s="155">
        <v>26.81360101669436</v>
      </c>
      <c r="R36" s="155">
        <v>25.696367640998762</v>
      </c>
      <c r="S36" s="155">
        <v>24.579134265303164</v>
      </c>
      <c r="T36" s="155">
        <v>23.461900889607566</v>
      </c>
      <c r="U36" s="155">
        <v>22.903284201759767</v>
      </c>
      <c r="V36" s="155">
        <v>21.786050826064166</v>
      </c>
      <c r="W36" s="155">
        <v>21.227434138216367</v>
      </c>
      <c r="X36" s="155">
        <v>20.110200762520769</v>
      </c>
      <c r="AB36" s="12">
        <f t="shared" si="0"/>
        <v>31</v>
      </c>
      <c r="AC36" s="18" t="s">
        <v>230</v>
      </c>
      <c r="AD36" s="51"/>
      <c r="AH36" s="160"/>
    </row>
    <row r="37" spans="5:34" x14ac:dyDescent="0.2">
      <c r="E37" s="152"/>
      <c r="G37" s="12"/>
      <c r="H37" s="19" t="str">
        <f>"Soft Costs (2022$M)"&amp;IF(ITC.toggle="Yes"," - ITC Enabled","")</f>
        <v>Soft Costs (2022$M)</v>
      </c>
      <c r="K37" s="151" cm="1">
        <f t="array" ref="K37:X37">(_xlfn.ANCHORARRAY(K38)+_xlfn.ANCHORARRAY(K39)+_xlfn.ANCHORARRAY(K40))*IF(ITC.toggle="Yes",(1-Forecast.ITC.Soft),1)</f>
        <v>60.377058262614582</v>
      </c>
      <c r="L37" s="151">
        <v>59.081555114787193</v>
      </c>
      <c r="M37" s="151">
        <v>57.680302906030875</v>
      </c>
      <c r="N37" s="151">
        <v>56.141914347198707</v>
      </c>
      <c r="O37" s="151">
        <v>54.435862459622406</v>
      </c>
      <c r="P37" s="151">
        <v>53.606002407463052</v>
      </c>
      <c r="Q37" s="151">
        <v>52.603365253226364</v>
      </c>
      <c r="R37" s="151">
        <v>51.402326828473271</v>
      </c>
      <c r="S37" s="151">
        <v>49.981263188441979</v>
      </c>
      <c r="T37" s="151">
        <v>48.323979277110624</v>
      </c>
      <c r="U37" s="151">
        <v>47.581598931387028</v>
      </c>
      <c r="V37" s="151">
        <v>45.436178743951416</v>
      </c>
      <c r="W37" s="151">
        <v>44.242978358106306</v>
      </c>
      <c r="X37" s="151">
        <v>41.860272253100916</v>
      </c>
      <c r="AB37" s="12">
        <f t="shared" si="0"/>
        <v>32</v>
      </c>
      <c r="AC37" s="18"/>
      <c r="AD37" s="51"/>
      <c r="AH37" s="160"/>
    </row>
    <row r="38" spans="5:34" x14ac:dyDescent="0.2">
      <c r="G38" s="12"/>
      <c r="J38" s="207" t="s">
        <v>132</v>
      </c>
      <c r="K38" s="155" cm="1">
        <f t="array" ref="K38:X38">INDEX(jurisdictional_inputs,_xlfn.XMATCH("Sales Tax",jurisdictional_inputs_rows),_xlfn.XMATCH(selected.location,jurisdictions))*_xlfn.ANCHORARRAY(K23)</f>
        <v>33.026960549882482</v>
      </c>
      <c r="L38" s="155">
        <v>32.373827573019163</v>
      </c>
      <c r="M38" s="155">
        <v>31.65910649734554</v>
      </c>
      <c r="N38" s="155">
        <v>30.864349236227028</v>
      </c>
      <c r="O38" s="155">
        <v>29.971614502489469</v>
      </c>
      <c r="P38" s="155">
        <v>29.555400672723337</v>
      </c>
      <c r="Q38" s="155">
        <v>29.037954386934356</v>
      </c>
      <c r="R38" s="155">
        <v>28.404212369760295</v>
      </c>
      <c r="S38" s="155">
        <v>27.641465557916607</v>
      </c>
      <c r="T38" s="155">
        <v>26.740199763929212</v>
      </c>
      <c r="U38" s="155">
        <v>26.337270265328151</v>
      </c>
      <c r="V38" s="155">
        <v>25.149618081020328</v>
      </c>
      <c r="W38" s="155">
        <v>24.481965420819645</v>
      </c>
      <c r="X38" s="155">
        <v>23.155585354557811</v>
      </c>
      <c r="AB38" s="12">
        <f t="shared" ref="AB38:AB69" si="2">ROW(B33)</f>
        <v>33</v>
      </c>
      <c r="AC38" s="18" t="s">
        <v>231</v>
      </c>
      <c r="AD38" s="51"/>
    </row>
    <row r="39" spans="5:34" x14ac:dyDescent="0.2">
      <c r="G39" s="12"/>
      <c r="J39" s="207" t="s">
        <v>136</v>
      </c>
      <c r="K39" s="155" cm="1">
        <f t="array" ref="K39:X39">3%*(_xlfn.ANCHORARRAY(K23)+_xlfn.ANCHORARRAY(K38))</f>
        <v>8.6124150972385856</v>
      </c>
      <c r="L39" s="155">
        <v>8.4420981132719195</v>
      </c>
      <c r="M39" s="155">
        <v>8.2557208481539526</v>
      </c>
      <c r="N39" s="155">
        <v>8.0484726085238165</v>
      </c>
      <c r="O39" s="155">
        <v>7.8156748587260996</v>
      </c>
      <c r="P39" s="155">
        <v>7.707139098502469</v>
      </c>
      <c r="Q39" s="155">
        <v>7.5722050285928812</v>
      </c>
      <c r="R39" s="155">
        <v>7.406944610268261</v>
      </c>
      <c r="S39" s="155">
        <v>7.2080437108720989</v>
      </c>
      <c r="T39" s="155">
        <v>6.9730213230553861</v>
      </c>
      <c r="U39" s="155">
        <v>6.8679497076509559</v>
      </c>
      <c r="V39" s="155">
        <v>6.558246561127608</v>
      </c>
      <c r="W39" s="155">
        <v>6.3841432905060458</v>
      </c>
      <c r="X39" s="155">
        <v>6.0382641809193052</v>
      </c>
      <c r="AB39" s="12">
        <f t="shared" si="2"/>
        <v>34</v>
      </c>
      <c r="AC39" s="18" t="s">
        <v>232</v>
      </c>
      <c r="AD39" s="51"/>
    </row>
    <row r="40" spans="5:34" x14ac:dyDescent="0.2">
      <c r="G40" s="12"/>
      <c r="J40" s="207" t="s">
        <v>138</v>
      </c>
      <c r="K40" s="155" cm="1">
        <f t="array" ref="K40:X40">4.9%*(_xlfn.ANCHORARRAY(K23)+_xlfn.ANCHORARRAY(K30)+_xlfn.ANCHORARRAY(K38)+_xlfn.ANCHORARRAY(K39))</f>
        <v>18.737682615493515</v>
      </c>
      <c r="L40" s="155">
        <v>18.265629428496112</v>
      </c>
      <c r="M40" s="155">
        <v>17.765475560531389</v>
      </c>
      <c r="N40" s="155">
        <v>17.229092502447859</v>
      </c>
      <c r="O40" s="155">
        <v>16.648573098406835</v>
      </c>
      <c r="P40" s="155">
        <v>16.343462636237245</v>
      </c>
      <c r="Q40" s="155">
        <v>15.993205837699128</v>
      </c>
      <c r="R40" s="155">
        <v>15.591169848444713</v>
      </c>
      <c r="S40" s="155">
        <v>15.131753919653272</v>
      </c>
      <c r="T40" s="155">
        <v>14.610758190126024</v>
      </c>
      <c r="U40" s="155">
        <v>14.376378958407919</v>
      </c>
      <c r="V40" s="155">
        <v>13.728314101803477</v>
      </c>
      <c r="W40" s="155">
        <v>13.376869646780614</v>
      </c>
      <c r="X40" s="155">
        <v>12.666422717623799</v>
      </c>
      <c r="AB40" s="12">
        <f t="shared" si="2"/>
        <v>35</v>
      </c>
      <c r="AC40" s="18" t="s">
        <v>233</v>
      </c>
      <c r="AD40" s="51"/>
    </row>
    <row r="41" spans="5:34" x14ac:dyDescent="0.2">
      <c r="G41" s="12"/>
      <c r="AB41" s="12">
        <f t="shared" si="2"/>
        <v>36</v>
      </c>
      <c r="AC41" s="18"/>
      <c r="AD41" s="51"/>
    </row>
    <row r="42" spans="5:34" x14ac:dyDescent="0.2">
      <c r="G42" s="19" t="str">
        <f>"OPEX (2022$M/year) - "&amp;selected.location</f>
        <v>OPEX (2022$M/year) - Ontario</v>
      </c>
      <c r="J42" s="209"/>
      <c r="K42" s="166" cm="1">
        <f t="array" ref="K42:X42">_xlfn.ANCHORARRAY(K43)+_xlfn.ANCHORARRAY(K47)+_xlfn.ANCHORARRAY(K50)</f>
        <v>14.325313677012236</v>
      </c>
      <c r="L42" s="166">
        <v>13.559205306956381</v>
      </c>
      <c r="M42" s="166">
        <v>12.804680432780447</v>
      </c>
      <c r="N42" s="166">
        <v>12.061739054484438</v>
      </c>
      <c r="O42" s="166">
        <v>11.330381172068359</v>
      </c>
      <c r="P42" s="166">
        <v>10.817068148502248</v>
      </c>
      <c r="Q42" s="166">
        <v>10.311477455522754</v>
      </c>
      <c r="R42" s="166">
        <v>9.8136090931298749</v>
      </c>
      <c r="S42" s="166">
        <v>9.3234630613236149</v>
      </c>
      <c r="T42" s="166">
        <v>8.8636379025289749</v>
      </c>
      <c r="U42" s="166">
        <v>8.6072674029898693</v>
      </c>
      <c r="V42" s="166">
        <v>8.1571898989843081</v>
      </c>
      <c r="W42" s="166">
        <v>7.9077820100088285</v>
      </c>
      <c r="X42" s="166">
        <v>7.4674521607923481</v>
      </c>
      <c r="AB42" s="12">
        <f t="shared" si="2"/>
        <v>37</v>
      </c>
      <c r="AC42" s="18" t="s">
        <v>234</v>
      </c>
      <c r="AD42" s="51"/>
    </row>
    <row r="43" spans="5:34" x14ac:dyDescent="0.2">
      <c r="G43" s="12"/>
      <c r="I43" s="19" t="s">
        <v>148</v>
      </c>
      <c r="J43" s="210"/>
      <c r="K43" s="151" cm="1">
        <f t="array" ref="K43:X43">K44:X44+K45:X45+K46:X46</f>
        <v>12.871313677012237</v>
      </c>
      <c r="L43" s="166">
        <v>12.150205306956382</v>
      </c>
      <c r="M43" s="166">
        <v>11.440680432780448</v>
      </c>
      <c r="N43" s="166">
        <v>10.742739054484439</v>
      </c>
      <c r="O43" s="166">
        <v>10.05638117206836</v>
      </c>
      <c r="P43" s="166">
        <v>9.573068148502248</v>
      </c>
      <c r="Q43" s="166">
        <v>9.0974774555227533</v>
      </c>
      <c r="R43" s="166">
        <v>8.6296090931298757</v>
      </c>
      <c r="S43" s="166">
        <v>8.169463061323615</v>
      </c>
      <c r="T43" s="166">
        <v>7.7396379025289761</v>
      </c>
      <c r="U43" s="166">
        <v>7.4982674029898693</v>
      </c>
      <c r="V43" s="166">
        <v>7.0781898989843075</v>
      </c>
      <c r="W43" s="166">
        <v>6.8437820100088285</v>
      </c>
      <c r="X43" s="166">
        <v>6.4334521607923474</v>
      </c>
      <c r="AB43" s="12">
        <f t="shared" si="2"/>
        <v>38</v>
      </c>
      <c r="AC43" s="18" t="s">
        <v>235</v>
      </c>
      <c r="AD43" s="51"/>
    </row>
    <row r="44" spans="5:34" x14ac:dyDescent="0.2">
      <c r="G44" s="12"/>
      <c r="J44" s="205" t="s">
        <v>236</v>
      </c>
      <c r="K44" s="155" cm="1">
        <f t="array" ref="K44:X46">_xlfn.ANCHORARRAY(K74)*wind_selected.num.turbine</f>
        <v>6.9155564375883092</v>
      </c>
      <c r="L44" s="155">
        <v>6.5281161377186097</v>
      </c>
      <c r="M44" s="155">
        <v>6.1468994698349171</v>
      </c>
      <c r="N44" s="155">
        <v>5.7719064339372306</v>
      </c>
      <c r="O44" s="155">
        <v>5.4031370300255563</v>
      </c>
      <c r="P44" s="155">
        <v>5.1434604674488638</v>
      </c>
      <c r="Q44" s="155">
        <v>4.8879329928628454</v>
      </c>
      <c r="R44" s="155">
        <v>4.6365546062674969</v>
      </c>
      <c r="S44" s="155">
        <v>4.3893253076628218</v>
      </c>
      <c r="T44" s="155">
        <v>4.1583869420437445</v>
      </c>
      <c r="U44" s="155">
        <v>4.0287023306809786</v>
      </c>
      <c r="V44" s="155">
        <v>3.8030012282130894</v>
      </c>
      <c r="W44" s="155">
        <v>3.6770575191011732</v>
      </c>
      <c r="X44" s="155">
        <v>3.4565936797844721</v>
      </c>
      <c r="AB44" s="12">
        <f t="shared" si="2"/>
        <v>39</v>
      </c>
      <c r="AC44" s="18" t="s">
        <v>237</v>
      </c>
      <c r="AD44" s="51"/>
    </row>
    <row r="45" spans="5:34" x14ac:dyDescent="0.2">
      <c r="G45" s="12"/>
      <c r="J45" s="205" t="s">
        <v>238</v>
      </c>
      <c r="K45" s="155">
        <v>2.0165162306710935</v>
      </c>
      <c r="L45" s="155">
        <v>1.9035420021828677</v>
      </c>
      <c r="M45" s="155">
        <v>1.7923825307610854</v>
      </c>
      <c r="N45" s="155">
        <v>1.683037816405748</v>
      </c>
      <c r="O45" s="155">
        <v>1.5755078591168552</v>
      </c>
      <c r="P45" s="155">
        <v>1.499788427443272</v>
      </c>
      <c r="Q45" s="155">
        <v>1.425278833813985</v>
      </c>
      <c r="R45" s="155">
        <v>1.3519790782289944</v>
      </c>
      <c r="S45" s="155">
        <v>1.2798891606883003</v>
      </c>
      <c r="T45" s="155">
        <v>1.2125495378020863</v>
      </c>
      <c r="U45" s="155">
        <v>1.1747346307817503</v>
      </c>
      <c r="V45" s="155">
        <v>1.1089221483713576</v>
      </c>
      <c r="W45" s="155">
        <v>1.072198055976608</v>
      </c>
      <c r="X45" s="155">
        <v>1.0079127140420365</v>
      </c>
      <c r="AB45" s="12">
        <f t="shared" si="2"/>
        <v>40</v>
      </c>
      <c r="AC45" s="18" t="s">
        <v>239</v>
      </c>
      <c r="AD45" s="51"/>
    </row>
    <row r="46" spans="5:34" x14ac:dyDescent="0.2">
      <c r="G46" s="12"/>
      <c r="J46" s="205" t="s">
        <v>240</v>
      </c>
      <c r="K46" s="155">
        <v>3.939241008752834</v>
      </c>
      <c r="L46" s="155">
        <v>3.7185471670549042</v>
      </c>
      <c r="M46" s="155">
        <v>3.5013984321844456</v>
      </c>
      <c r="N46" s="155">
        <v>3.2877948041414604</v>
      </c>
      <c r="O46" s="155">
        <v>3.0777362829259491</v>
      </c>
      <c r="P46" s="155">
        <v>2.9298192536101118</v>
      </c>
      <c r="Q46" s="155">
        <v>2.7842656288459233</v>
      </c>
      <c r="R46" s="155">
        <v>2.6410754086333843</v>
      </c>
      <c r="S46" s="155">
        <v>2.5002485929724929</v>
      </c>
      <c r="T46" s="155">
        <v>2.3687014226831455</v>
      </c>
      <c r="U46" s="155">
        <v>2.2948304415271399</v>
      </c>
      <c r="V46" s="155">
        <v>2.1662665223998609</v>
      </c>
      <c r="W46" s="155">
        <v>2.0945264349310482</v>
      </c>
      <c r="X46" s="155">
        <v>1.9689457669658386</v>
      </c>
      <c r="AB46" s="12">
        <f t="shared" si="2"/>
        <v>41</v>
      </c>
      <c r="AC46" s="18" t="s">
        <v>241</v>
      </c>
      <c r="AD46" s="51"/>
    </row>
    <row r="47" spans="5:34" x14ac:dyDescent="0.2">
      <c r="G47" s="12"/>
      <c r="I47" s="19" t="s">
        <v>150</v>
      </c>
      <c r="K47" s="151" cm="1">
        <f t="array" ref="K47:X47">K48:X48+K49:X49</f>
        <v>1.2</v>
      </c>
      <c r="L47" s="166">
        <v>1.155</v>
      </c>
      <c r="M47" s="166">
        <v>1.1099999999999999</v>
      </c>
      <c r="N47" s="166">
        <v>1.0649999999999999</v>
      </c>
      <c r="O47" s="166">
        <v>1.02</v>
      </c>
      <c r="P47" s="166">
        <v>0.99</v>
      </c>
      <c r="Q47" s="166">
        <v>0.96</v>
      </c>
      <c r="R47" s="166">
        <v>0.92999999999999994</v>
      </c>
      <c r="S47" s="166">
        <v>0.9</v>
      </c>
      <c r="T47" s="166">
        <v>0.87</v>
      </c>
      <c r="U47" s="166">
        <v>0.85499999999999998</v>
      </c>
      <c r="V47" s="166">
        <v>0.82499999999999996</v>
      </c>
      <c r="W47" s="166">
        <v>0.80999999999999994</v>
      </c>
      <c r="X47" s="166">
        <v>0.78</v>
      </c>
      <c r="AB47" s="12">
        <f t="shared" si="2"/>
        <v>42</v>
      </c>
      <c r="AC47" s="18" t="s">
        <v>242</v>
      </c>
      <c r="AD47" s="51"/>
    </row>
    <row r="48" spans="5:34" x14ac:dyDescent="0.2">
      <c r="G48" s="12"/>
      <c r="J48" s="207" t="s">
        <v>243</v>
      </c>
      <c r="K48" s="155" cm="1">
        <f t="array" ref="K48:X48">K77:X77*wind_selected.num.turbine/1000000</f>
        <v>0.96</v>
      </c>
      <c r="L48" s="155">
        <v>0.91500000000000004</v>
      </c>
      <c r="M48" s="155">
        <v>0.87</v>
      </c>
      <c r="N48" s="155">
        <v>0.82499999999999996</v>
      </c>
      <c r="O48" s="155">
        <v>0.78</v>
      </c>
      <c r="P48" s="155">
        <v>0.75</v>
      </c>
      <c r="Q48" s="155">
        <v>0.72</v>
      </c>
      <c r="R48" s="155">
        <v>0.69</v>
      </c>
      <c r="S48" s="155">
        <v>0.66</v>
      </c>
      <c r="T48" s="155">
        <v>0.63</v>
      </c>
      <c r="U48" s="155">
        <v>0.61499999999999999</v>
      </c>
      <c r="V48" s="155">
        <v>0.58499999999999996</v>
      </c>
      <c r="W48" s="155">
        <v>0.56999999999999995</v>
      </c>
      <c r="X48" s="155">
        <v>0.54</v>
      </c>
      <c r="AB48" s="12">
        <f t="shared" si="2"/>
        <v>43</v>
      </c>
      <c r="AC48" s="18" t="s">
        <v>244</v>
      </c>
      <c r="AD48" s="51"/>
    </row>
    <row r="49" spans="6:30" x14ac:dyDescent="0.2">
      <c r="G49" s="12"/>
      <c r="J49" s="207" t="s">
        <v>245</v>
      </c>
      <c r="K49" s="155">
        <f>K78*K$11*1000/1000/1000</f>
        <v>0.24</v>
      </c>
      <c r="L49" s="155">
        <f t="shared" ref="L49:X49" si="3">L78*L$11*1000/1000/1000</f>
        <v>0.24</v>
      </c>
      <c r="M49" s="155">
        <f t="shared" si="3"/>
        <v>0.24</v>
      </c>
      <c r="N49" s="155">
        <f t="shared" si="3"/>
        <v>0.24</v>
      </c>
      <c r="O49" s="155">
        <f t="shared" si="3"/>
        <v>0.24</v>
      </c>
      <c r="P49" s="155">
        <f t="shared" si="3"/>
        <v>0.24</v>
      </c>
      <c r="Q49" s="155">
        <f t="shared" si="3"/>
        <v>0.24</v>
      </c>
      <c r="R49" s="155">
        <f t="shared" si="3"/>
        <v>0.24</v>
      </c>
      <c r="S49" s="155">
        <f t="shared" si="3"/>
        <v>0.24</v>
      </c>
      <c r="T49" s="155">
        <f t="shared" si="3"/>
        <v>0.24</v>
      </c>
      <c r="U49" s="155">
        <f t="shared" si="3"/>
        <v>0.24</v>
      </c>
      <c r="V49" s="155">
        <f t="shared" si="3"/>
        <v>0.24</v>
      </c>
      <c r="W49" s="155">
        <f t="shared" si="3"/>
        <v>0.24</v>
      </c>
      <c r="X49" s="155">
        <f t="shared" si="3"/>
        <v>0.24</v>
      </c>
      <c r="AB49" s="12">
        <f t="shared" si="2"/>
        <v>44</v>
      </c>
      <c r="AC49" s="18" t="s">
        <v>246</v>
      </c>
      <c r="AD49" s="51"/>
    </row>
    <row r="50" spans="6:30" x14ac:dyDescent="0.2">
      <c r="G50" s="12"/>
      <c r="I50" s="19" t="s">
        <v>152</v>
      </c>
      <c r="J50" s="210"/>
      <c r="K50" s="166" cm="1">
        <f t="array" ref="K50:X50">K79:X79*wind_selected.plant.capacity*1000/1000/1000</f>
        <v>0.254</v>
      </c>
      <c r="L50" s="166">
        <v>0.254</v>
      </c>
      <c r="M50" s="166">
        <v>0.254</v>
      </c>
      <c r="N50" s="166">
        <v>0.254</v>
      </c>
      <c r="O50" s="166">
        <v>0.254</v>
      </c>
      <c r="P50" s="166">
        <v>0.254</v>
      </c>
      <c r="Q50" s="166">
        <v>0.254</v>
      </c>
      <c r="R50" s="166">
        <v>0.254</v>
      </c>
      <c r="S50" s="166">
        <v>0.254</v>
      </c>
      <c r="T50" s="166">
        <v>0.254</v>
      </c>
      <c r="U50" s="166">
        <v>0.254</v>
      </c>
      <c r="V50" s="166">
        <v>0.254</v>
      </c>
      <c r="W50" s="166">
        <v>0.254</v>
      </c>
      <c r="X50" s="166">
        <v>0.254</v>
      </c>
      <c r="AB50" s="12">
        <f t="shared" si="2"/>
        <v>45</v>
      </c>
      <c r="AC50" s="18" t="s">
        <v>247</v>
      </c>
      <c r="AD50" s="51"/>
    </row>
    <row r="51" spans="6:30" x14ac:dyDescent="0.2">
      <c r="J51" s="209"/>
      <c r="AB51" s="12">
        <f t="shared" si="2"/>
        <v>46</v>
      </c>
      <c r="AC51" s="18"/>
    </row>
    <row r="52" spans="6:30" x14ac:dyDescent="0.2">
      <c r="AB52" s="12">
        <f t="shared" si="2"/>
        <v>47</v>
      </c>
      <c r="AC52" s="18"/>
    </row>
    <row r="53" spans="6:30" x14ac:dyDescent="0.2">
      <c r="G53" s="156" t="s">
        <v>81</v>
      </c>
      <c r="AB53" s="12">
        <f t="shared" si="2"/>
        <v>48</v>
      </c>
      <c r="AC53" s="18"/>
      <c r="AD53" s="51"/>
    </row>
    <row r="54" spans="6:30" x14ac:dyDescent="0.2">
      <c r="G54" s="19"/>
      <c r="H54" s="19" t="s">
        <v>82</v>
      </c>
      <c r="AB54" s="12">
        <f t="shared" si="2"/>
        <v>49</v>
      </c>
      <c r="AC54" s="18"/>
      <c r="AD54" s="51"/>
    </row>
    <row r="55" spans="6:30" x14ac:dyDescent="0.2">
      <c r="G55" s="12"/>
      <c r="I55" s="19" t="s">
        <v>248</v>
      </c>
      <c r="AB55" s="12">
        <f t="shared" si="2"/>
        <v>50</v>
      </c>
      <c r="AC55" s="18"/>
      <c r="AD55" s="51"/>
    </row>
    <row r="56" spans="6:30" x14ac:dyDescent="0.2">
      <c r="G56" s="12"/>
      <c r="J56" s="160" t="s">
        <v>249</v>
      </c>
      <c r="K56" s="273" cm="1">
        <f t="array" ref="K56:X56">Inputs.Wind!R201:AE201</f>
        <v>135.58199999999999</v>
      </c>
      <c r="L56" s="273">
        <v>141.16060000000002</v>
      </c>
      <c r="M56" s="273">
        <v>146.8032</v>
      </c>
      <c r="N56" s="273">
        <v>152.3922</v>
      </c>
      <c r="O56" s="273">
        <v>157.81</v>
      </c>
      <c r="P56" s="273">
        <v>162.93900000000002</v>
      </c>
      <c r="Q56" s="273">
        <v>167.66160000000002</v>
      </c>
      <c r="R56" s="273">
        <v>171.86020000000002</v>
      </c>
      <c r="S56" s="273">
        <v>175.41720000000001</v>
      </c>
      <c r="T56" s="273">
        <v>178.21500000000003</v>
      </c>
      <c r="U56" s="273">
        <v>180.13600000000002</v>
      </c>
      <c r="V56" s="273">
        <v>181.06260000000003</v>
      </c>
      <c r="W56" s="273">
        <v>181.06260000000003</v>
      </c>
      <c r="X56" s="273">
        <v>181.06260000000003</v>
      </c>
      <c r="AB56" s="12">
        <f t="shared" si="2"/>
        <v>51</v>
      </c>
      <c r="AC56" s="18" t="s">
        <v>202</v>
      </c>
      <c r="AD56" s="51"/>
    </row>
    <row r="57" spans="6:30" x14ac:dyDescent="0.2">
      <c r="F57" s="30"/>
      <c r="G57" s="12"/>
      <c r="J57" s="160" t="s">
        <v>250</v>
      </c>
      <c r="K57" s="155" cm="1">
        <f t="array" ref="K57:X57">forecast_wind.blade.costs_CA*_xlfn.IFS(selected.location="Canada",derate.CA,selected.location="Alberta",derate.AB,selected.location="Ontario",derate.ON)</f>
        <v>0.75190694894167953</v>
      </c>
      <c r="L57" s="155">
        <v>0.82382090457998036</v>
      </c>
      <c r="M57" s="155">
        <v>0.90031151582620261</v>
      </c>
      <c r="N57" s="155">
        <v>0.97983357850440578</v>
      </c>
      <c r="O57" s="155">
        <v>1.060525106048849</v>
      </c>
      <c r="P57" s="155">
        <v>1.1402160879537324</v>
      </c>
      <c r="Q57" s="155">
        <v>1.2164556356684226</v>
      </c>
      <c r="R57" s="155">
        <v>1.2865582752915388</v>
      </c>
      <c r="S57" s="155">
        <v>1.347669883756035</v>
      </c>
      <c r="T57" s="155">
        <v>1.3968534573553466</v>
      </c>
      <c r="U57" s="155">
        <v>1.4311945460117754</v>
      </c>
      <c r="V57" s="155">
        <v>1.4479257749255843</v>
      </c>
      <c r="W57" s="155">
        <v>1.4479257749255843</v>
      </c>
      <c r="X57" s="155">
        <v>1.4479257749255843</v>
      </c>
      <c r="AB57" s="12">
        <f t="shared" si="2"/>
        <v>52</v>
      </c>
      <c r="AC57" s="18" t="s">
        <v>202</v>
      </c>
      <c r="AD57" s="51"/>
    </row>
    <row r="58" spans="6:30" x14ac:dyDescent="0.2">
      <c r="G58" s="12"/>
      <c r="J58" s="160" t="s">
        <v>251</v>
      </c>
      <c r="K58" s="155" cm="1">
        <f t="array" ref="K58:X58">forecast_wind.hub.assembly.costs_CA*_xlfn.IFS(selected.location="Canada",derate.CA,selected.location="Alberta",derate.AB,selected.location="Ontario",derate.ON)</f>
        <v>0.20041972770111879</v>
      </c>
      <c r="L58" s="155">
        <v>0.20041972770111879</v>
      </c>
      <c r="M58" s="155">
        <v>0.20041972770111879</v>
      </c>
      <c r="N58" s="155">
        <v>0.20041972770111879</v>
      </c>
      <c r="O58" s="155">
        <v>0.20041972770111879</v>
      </c>
      <c r="P58" s="155">
        <v>0.20041972770111879</v>
      </c>
      <c r="Q58" s="155">
        <v>0.20041972770111879</v>
      </c>
      <c r="R58" s="155">
        <v>0.20041972770111879</v>
      </c>
      <c r="S58" s="155">
        <v>0.20041972770111879</v>
      </c>
      <c r="T58" s="155">
        <v>0.20041972770111879</v>
      </c>
      <c r="U58" s="155">
        <v>0.20041972770111879</v>
      </c>
      <c r="V58" s="155">
        <v>0.20041972770111879</v>
      </c>
      <c r="W58" s="155">
        <v>0.20041972770111879</v>
      </c>
      <c r="X58" s="155">
        <v>0.20041972770111879</v>
      </c>
      <c r="AB58" s="12">
        <f t="shared" si="2"/>
        <v>53</v>
      </c>
      <c r="AC58" s="18" t="s">
        <v>202</v>
      </c>
      <c r="AD58" s="51"/>
    </row>
    <row r="59" spans="6:30" x14ac:dyDescent="0.2">
      <c r="G59" s="12"/>
      <c r="J59" s="160" t="s">
        <v>252</v>
      </c>
      <c r="K59" s="155" cm="1">
        <f t="array" ref="K59:X59">forecast_wind.pitch.assembly.costs_CA*_xlfn.IFS(selected.location="Canada",derate.CA,selected.location="Alberta",derate.AB,selected.location="Ontario",derate.ON)</f>
        <v>0.26438347058445455</v>
      </c>
      <c r="L59" s="155">
        <v>0.26438347058445455</v>
      </c>
      <c r="M59" s="155">
        <v>0.26438347058445455</v>
      </c>
      <c r="N59" s="155">
        <v>0.26438347058445455</v>
      </c>
      <c r="O59" s="155">
        <v>0.26438347058445455</v>
      </c>
      <c r="P59" s="155">
        <v>0.26438347058445455</v>
      </c>
      <c r="Q59" s="155">
        <v>0.26438347058445455</v>
      </c>
      <c r="R59" s="155">
        <v>0.26438347058445455</v>
      </c>
      <c r="S59" s="155">
        <v>0.26438347058445455</v>
      </c>
      <c r="T59" s="155">
        <v>0.26438347058445455</v>
      </c>
      <c r="U59" s="155">
        <v>0.26438347058445455</v>
      </c>
      <c r="V59" s="155">
        <v>0.26438347058445455</v>
      </c>
      <c r="W59" s="155">
        <v>0.26438347058445455</v>
      </c>
      <c r="X59" s="155">
        <v>0.26438347058445455</v>
      </c>
      <c r="AB59" s="12">
        <f t="shared" si="2"/>
        <v>54</v>
      </c>
      <c r="AC59" s="18" t="s">
        <v>202</v>
      </c>
      <c r="AD59" s="51"/>
    </row>
    <row r="60" spans="6:30" x14ac:dyDescent="0.2">
      <c r="G60" s="12"/>
      <c r="J60" s="160" t="s">
        <v>253</v>
      </c>
      <c r="K60" s="155" cm="1">
        <f t="array" ref="K60:X60">_xlfn.IFS(selected.location="Canada",forecast_wind.blade.transportation.costs_CA,selected.location="Alberta",forecast_wind.blade.transportation.costs_AB,selected.location="Ontario",forecast_wind.blade.transportation.costs_ON)</f>
        <v>0</v>
      </c>
      <c r="L60" s="155">
        <v>1.5888100984054104E-2</v>
      </c>
      <c r="M60" s="155">
        <v>3.2784310171986464E-2</v>
      </c>
      <c r="N60" s="155">
        <v>5.0347121005496209E-2</v>
      </c>
      <c r="O60" s="155">
        <v>6.8165317388729191E-2</v>
      </c>
      <c r="P60" s="155">
        <v>8.5759928196829815E-2</v>
      </c>
      <c r="Q60" s="155">
        <v>0.10259022214392277</v>
      </c>
      <c r="R60" s="155">
        <v>0.1180639070254354</v>
      </c>
      <c r="S60" s="155">
        <v>0.13155164051038754</v>
      </c>
      <c r="T60" s="155">
        <v>0.14240589310884061</v>
      </c>
      <c r="U60" s="155">
        <v>0.14998412714616077</v>
      </c>
      <c r="V60" s="155">
        <v>0.15367616664303063</v>
      </c>
      <c r="W60" s="155">
        <v>0.15367616664303063</v>
      </c>
      <c r="X60" s="155">
        <v>0.15367616664303063</v>
      </c>
      <c r="AB60" s="12">
        <f t="shared" si="2"/>
        <v>55</v>
      </c>
      <c r="AC60" s="18" t="s">
        <v>202</v>
      </c>
      <c r="AD60" s="51"/>
    </row>
    <row r="61" spans="6:30" x14ac:dyDescent="0.2">
      <c r="G61" s="12"/>
      <c r="I61" s="19" t="s">
        <v>254</v>
      </c>
      <c r="J61" s="160"/>
      <c r="K61" s="36"/>
      <c r="L61" s="36"/>
      <c r="M61" s="36"/>
      <c r="N61" s="36"/>
      <c r="O61" s="36"/>
      <c r="P61" s="36"/>
      <c r="Q61" s="36"/>
      <c r="R61" s="36"/>
      <c r="S61" s="36"/>
      <c r="T61" s="36"/>
      <c r="U61" s="36"/>
      <c r="V61" s="36"/>
      <c r="W61" s="36"/>
      <c r="X61" s="36"/>
      <c r="AB61" s="12">
        <f t="shared" si="2"/>
        <v>56</v>
      </c>
      <c r="AC61" s="18"/>
      <c r="AD61" s="51"/>
    </row>
    <row r="62" spans="6:30" x14ac:dyDescent="0.2">
      <c r="G62" s="12"/>
      <c r="J62" s="160" t="s">
        <v>255</v>
      </c>
      <c r="K62" s="155" cm="1">
        <f t="array" ref="K62:X62">forecast_wind.nacelle.costs_CA*_xlfn.IFS(selected.location="Canada",derate.CA,selected.location="Alberta",derate.AB,selected.location="Ontario",derate.ON)</f>
        <v>2.0571300586378989</v>
      </c>
      <c r="L62" s="155">
        <v>2.0675749823324043</v>
      </c>
      <c r="M62" s="155">
        <v>2.0750265132887384</v>
      </c>
      <c r="N62" s="155">
        <v>2.0793651367801624</v>
      </c>
      <c r="O62" s="155">
        <v>2.0804698252352969</v>
      </c>
      <c r="P62" s="155">
        <v>2.0782180382381181</v>
      </c>
      <c r="Q62" s="155">
        <v>2.0724857225279627</v>
      </c>
      <c r="R62" s="155">
        <v>2.0631473119995238</v>
      </c>
      <c r="S62" s="155">
        <v>2.0500757277028523</v>
      </c>
      <c r="T62" s="155">
        <v>2.0331423778433559</v>
      </c>
      <c r="U62" s="155">
        <v>2.0122171577818024</v>
      </c>
      <c r="V62" s="155">
        <v>1.9871684500343145</v>
      </c>
      <c r="W62" s="155">
        <v>1.9578631242723754</v>
      </c>
      <c r="X62" s="155">
        <v>1.9241665373228238</v>
      </c>
      <c r="AB62" s="12">
        <f t="shared" si="2"/>
        <v>57</v>
      </c>
      <c r="AC62" s="18" t="s">
        <v>202</v>
      </c>
      <c r="AD62" s="51"/>
    </row>
    <row r="63" spans="6:30" x14ac:dyDescent="0.2">
      <c r="G63" s="12"/>
      <c r="I63" s="19" t="s">
        <v>256</v>
      </c>
      <c r="J63" s="160"/>
      <c r="K63" s="195"/>
      <c r="L63" s="195"/>
      <c r="M63" s="195"/>
      <c r="N63" s="195"/>
      <c r="O63" s="195"/>
      <c r="P63" s="195"/>
      <c r="Q63" s="195"/>
      <c r="R63" s="195"/>
      <c r="S63" s="195"/>
      <c r="T63" s="195"/>
      <c r="U63" s="195"/>
      <c r="V63" s="195"/>
      <c r="W63" s="195"/>
      <c r="X63" s="195"/>
      <c r="AB63" s="12">
        <f t="shared" si="2"/>
        <v>58</v>
      </c>
      <c r="AC63" s="18"/>
      <c r="AD63" s="51"/>
    </row>
    <row r="64" spans="6:30" x14ac:dyDescent="0.2">
      <c r="G64" s="12"/>
      <c r="J64" s="160" t="s">
        <v>257</v>
      </c>
      <c r="K64" s="155" cm="1">
        <f t="array" ref="K64:X64">forecast_wind.tower.costs_CA*_xlfn.IFS(selected.location="Canada",derate.CA,selected.location="Alberta",derate.AB,selected.location="Ontario",derate.ON)</f>
        <v>0.6957463986880309</v>
      </c>
      <c r="L64" s="155">
        <v>0.71036269692254772</v>
      </c>
      <c r="M64" s="155">
        <v>0.72589495279162908</v>
      </c>
      <c r="N64" s="155">
        <v>0.74234316629527475</v>
      </c>
      <c r="O64" s="155">
        <v>0.75970733743348484</v>
      </c>
      <c r="P64" s="155">
        <v>0.77798746620625947</v>
      </c>
      <c r="Q64" s="155">
        <v>0.79718355261359863</v>
      </c>
      <c r="R64" s="155">
        <v>0.81729559665550222</v>
      </c>
      <c r="S64" s="155">
        <v>0.83832359833197012</v>
      </c>
      <c r="T64" s="155">
        <v>0.86026755764300256</v>
      </c>
      <c r="U64" s="155">
        <v>0.88312747458859941</v>
      </c>
      <c r="V64" s="155">
        <v>0.9069033491687607</v>
      </c>
      <c r="W64" s="155">
        <v>0.93159518138348651</v>
      </c>
      <c r="X64" s="155">
        <v>0.95720297123277676</v>
      </c>
      <c r="AB64" s="12">
        <f t="shared" si="2"/>
        <v>59</v>
      </c>
      <c r="AC64" s="18" t="s">
        <v>202</v>
      </c>
      <c r="AD64" s="51"/>
    </row>
    <row r="65" spans="6:30" x14ac:dyDescent="0.2">
      <c r="F65" s="154"/>
      <c r="G65" s="12"/>
      <c r="J65" s="160" t="s">
        <v>258</v>
      </c>
      <c r="K65" s="273" cm="1">
        <f t="array" ref="K65:X65">forecast_wind.hub.height_CA</f>
        <v>94.492199999999997</v>
      </c>
      <c r="L65" s="273">
        <v>96.4773</v>
      </c>
      <c r="M65" s="273">
        <v>98.586800000000011</v>
      </c>
      <c r="N65" s="273">
        <v>100.8207</v>
      </c>
      <c r="O65" s="273">
        <v>103.179</v>
      </c>
      <c r="P65" s="273">
        <v>105.6617</v>
      </c>
      <c r="Q65" s="273">
        <v>108.2688</v>
      </c>
      <c r="R65" s="273">
        <v>111.00030000000001</v>
      </c>
      <c r="S65" s="273">
        <v>113.8562</v>
      </c>
      <c r="T65" s="273">
        <v>116.8365</v>
      </c>
      <c r="U65" s="273">
        <v>119.94120000000001</v>
      </c>
      <c r="V65" s="273">
        <v>123.1703</v>
      </c>
      <c r="W65" s="273">
        <v>126.52380000000001</v>
      </c>
      <c r="X65" s="273">
        <v>130.0017</v>
      </c>
      <c r="AB65" s="12">
        <f t="shared" si="2"/>
        <v>60</v>
      </c>
      <c r="AC65" s="18" t="s">
        <v>202</v>
      </c>
      <c r="AD65" s="51"/>
    </row>
    <row r="66" spans="6:30" x14ac:dyDescent="0.2">
      <c r="F66" s="154"/>
      <c r="G66" s="12"/>
      <c r="I66" s="19" t="s">
        <v>259</v>
      </c>
      <c r="K66" s="181"/>
      <c r="L66" s="181"/>
      <c r="M66" s="181"/>
      <c r="N66" s="181"/>
      <c r="O66" s="181"/>
      <c r="P66" s="181"/>
      <c r="Q66" s="181"/>
      <c r="R66" s="181"/>
      <c r="S66" s="181"/>
      <c r="T66" s="181"/>
      <c r="U66" s="181"/>
      <c r="V66" s="181"/>
      <c r="W66" s="181"/>
      <c r="X66" s="181"/>
      <c r="AB66" s="12">
        <f t="shared" si="2"/>
        <v>61</v>
      </c>
      <c r="AC66" s="18"/>
      <c r="AD66" s="51"/>
    </row>
    <row r="67" spans="6:30" x14ac:dyDescent="0.2">
      <c r="F67" s="154"/>
      <c r="G67" s="12"/>
      <c r="J67" s="160" t="s">
        <v>260</v>
      </c>
      <c r="K67" s="158" cm="1">
        <f t="array" ref="K67:X72">_xlfn.IFS(selected.location="Canada",forecast_wind.BOP.costs_CA,selected.location="Alberta",forecast_wind.BOP.costs_AB,selected.location="Ontario",forecast_wind.BOP.costs_ON)*_xlfn.IFS(selected.location="Canada",derate.CA,selected.location="Alberta",derate.AB,selected.location="Ontario",derate.ON)</f>
        <v>7.6795000656284765E-2</v>
      </c>
      <c r="L67" s="158">
        <v>7.8104355417474416E-2</v>
      </c>
      <c r="M67" s="158">
        <v>7.943989727388788E-2</v>
      </c>
      <c r="N67" s="158">
        <v>8.0802149967429571E-2</v>
      </c>
      <c r="O67" s="158">
        <v>8.2191647714842136E-2</v>
      </c>
      <c r="P67" s="158">
        <v>8.3608935417202934E-2</v>
      </c>
      <c r="Q67" s="158">
        <v>8.5054568873610958E-2</v>
      </c>
      <c r="R67" s="158">
        <v>8.652911499914713E-2</v>
      </c>
      <c r="S67" s="158">
        <v>8.803315204719403E-2</v>
      </c>
      <c r="T67" s="158">
        <v>8.9567269836201877E-2</v>
      </c>
      <c r="U67" s="158">
        <v>9.1132069980989883E-2</v>
      </c>
      <c r="V67" s="158">
        <v>9.2728166128673628E-2</v>
      </c>
      <c r="W67" s="158">
        <v>9.4356184199311063E-2</v>
      </c>
      <c r="X67" s="158">
        <v>9.6016762631361247E-2</v>
      </c>
      <c r="AB67" s="12">
        <f t="shared" si="2"/>
        <v>62</v>
      </c>
      <c r="AC67" s="18" t="s">
        <v>202</v>
      </c>
      <c r="AD67" s="51"/>
    </row>
    <row r="68" spans="6:30" x14ac:dyDescent="0.2">
      <c r="F68" s="154"/>
      <c r="G68" s="12"/>
      <c r="J68" s="160" t="s">
        <v>261</v>
      </c>
      <c r="K68" s="158">
        <v>4.5758075997523302E-2</v>
      </c>
      <c r="L68" s="158">
        <v>4.6558842327479963E-2</v>
      </c>
      <c r="M68" s="158">
        <v>4.7375623984035754E-2</v>
      </c>
      <c r="N68" s="158">
        <v>4.8208741273722662E-2</v>
      </c>
      <c r="O68" s="158">
        <v>4.9058520909203311E-2</v>
      </c>
      <c r="P68" s="158">
        <v>4.9925296137393563E-2</v>
      </c>
      <c r="Q68" s="158">
        <v>5.0809406870147629E-2</v>
      </c>
      <c r="R68" s="158">
        <v>5.1711199817556765E-2</v>
      </c>
      <c r="S68" s="158">
        <v>5.2631028623914097E-2</v>
      </c>
      <c r="T68" s="158">
        <v>5.3569254006398573E-2</v>
      </c>
      <c r="U68" s="158">
        <v>5.4526243896532732E-2</v>
      </c>
      <c r="V68" s="158">
        <v>5.5502373584469571E-2</v>
      </c>
      <c r="W68" s="158">
        <v>5.6498025866165161E-2</v>
      </c>
      <c r="X68" s="158">
        <v>5.7513591193494654E-2</v>
      </c>
      <c r="AB68" s="12">
        <f t="shared" si="2"/>
        <v>63</v>
      </c>
      <c r="AC68" s="18" t="s">
        <v>202</v>
      </c>
      <c r="AD68" s="51"/>
    </row>
    <row r="69" spans="6:30" x14ac:dyDescent="0.2">
      <c r="F69" s="154"/>
      <c r="G69" s="12"/>
      <c r="J69" s="160" t="s">
        <v>262</v>
      </c>
      <c r="K69" s="158">
        <v>0.32725069860022749</v>
      </c>
      <c r="L69" s="158">
        <v>0.32855970139462842</v>
      </c>
      <c r="M69" s="158">
        <v>0.32989488424491736</v>
      </c>
      <c r="N69" s="158">
        <v>0.33125677075221205</v>
      </c>
      <c r="O69" s="158">
        <v>0.33264589498965264</v>
      </c>
      <c r="P69" s="158">
        <v>0.33406280171184211</v>
      </c>
      <c r="Q69" s="158">
        <v>0.33550804656847527</v>
      </c>
      <c r="R69" s="158">
        <v>0.33698219632224108</v>
      </c>
      <c r="S69" s="158">
        <v>0.33848582907108232</v>
      </c>
      <c r="T69" s="158">
        <v>0.3400195344749003</v>
      </c>
      <c r="U69" s="158">
        <v>0.34158391398679472</v>
      </c>
      <c r="V69" s="158">
        <v>0.34317958108892693</v>
      </c>
      <c r="W69" s="158">
        <v>0.34480716153310181</v>
      </c>
      <c r="X69" s="158">
        <v>0.34646729358616024</v>
      </c>
      <c r="AB69" s="12">
        <f t="shared" si="2"/>
        <v>64</v>
      </c>
      <c r="AC69" s="18" t="s">
        <v>202</v>
      </c>
      <c r="AD69" s="51"/>
    </row>
    <row r="70" spans="6:30" x14ac:dyDescent="0.2">
      <c r="G70" s="12"/>
      <c r="J70" s="160" t="s">
        <v>263</v>
      </c>
      <c r="K70" s="158">
        <v>0.17056998102222878</v>
      </c>
      <c r="L70" s="158">
        <v>0.17056998102222878</v>
      </c>
      <c r="M70" s="158">
        <v>0.17056998102222878</v>
      </c>
      <c r="N70" s="158">
        <v>0.17056998102222878</v>
      </c>
      <c r="O70" s="158">
        <v>0.17056998102222878</v>
      </c>
      <c r="P70" s="158">
        <v>0.17056998102222878</v>
      </c>
      <c r="Q70" s="158">
        <v>0.17056998102222878</v>
      </c>
      <c r="R70" s="158">
        <v>0.17056998102222878</v>
      </c>
      <c r="S70" s="158">
        <v>0.17056998102222878</v>
      </c>
      <c r="T70" s="158">
        <v>0.17056998102222878</v>
      </c>
      <c r="U70" s="158">
        <v>0.17056998102222878</v>
      </c>
      <c r="V70" s="158">
        <v>0.17056998102222878</v>
      </c>
      <c r="W70" s="158">
        <v>0.17056998102222878</v>
      </c>
      <c r="X70" s="158">
        <v>0.17056998102222878</v>
      </c>
      <c r="AB70" s="12">
        <f t="shared" ref="AB70:AB85" si="4">ROW(B65)</f>
        <v>65</v>
      </c>
      <c r="AC70" s="18" t="s">
        <v>202</v>
      </c>
      <c r="AD70" s="51"/>
    </row>
    <row r="71" spans="6:30" x14ac:dyDescent="0.2">
      <c r="F71" s="154"/>
      <c r="G71" s="12"/>
      <c r="J71" s="160" t="s">
        <v>264</v>
      </c>
      <c r="K71" s="158">
        <v>0.17583405106273606</v>
      </c>
      <c r="L71" s="158">
        <v>0.17697697239464386</v>
      </c>
      <c r="M71" s="158">
        <v>0.17814275215318981</v>
      </c>
      <c r="N71" s="158">
        <v>0.17933184750690664</v>
      </c>
      <c r="O71" s="158">
        <v>0.18054472476769784</v>
      </c>
      <c r="P71" s="158">
        <v>0.18178185957370488</v>
      </c>
      <c r="Q71" s="158">
        <v>0.18304373707583202</v>
      </c>
      <c r="R71" s="158">
        <v>0.18433085212800174</v>
      </c>
      <c r="S71" s="158">
        <v>0.18564370948121484</v>
      </c>
      <c r="T71" s="158">
        <v>0.18698282398149219</v>
      </c>
      <c r="U71" s="158">
        <v>0.18834872077177511</v>
      </c>
      <c r="V71" s="158">
        <v>0.18974193549786364</v>
      </c>
      <c r="W71" s="158">
        <v>0.19116301451847401</v>
      </c>
      <c r="X71" s="158">
        <v>0.19261251511949654</v>
      </c>
      <c r="AB71" s="12">
        <f t="shared" si="4"/>
        <v>66</v>
      </c>
      <c r="AC71" s="18" t="s">
        <v>202</v>
      </c>
      <c r="AD71" s="51"/>
    </row>
    <row r="72" spans="6:30" x14ac:dyDescent="0.2">
      <c r="F72" s="154"/>
      <c r="G72" s="12"/>
      <c r="J72" s="160" t="s">
        <v>265</v>
      </c>
      <c r="K72" s="158">
        <v>0.55861668784779916</v>
      </c>
      <c r="L72" s="158">
        <v>0.55861668784779916</v>
      </c>
      <c r="M72" s="158">
        <v>0.55861668784779916</v>
      </c>
      <c r="N72" s="158">
        <v>0.55861668784779916</v>
      </c>
      <c r="O72" s="158">
        <v>0.55861668784779916</v>
      </c>
      <c r="P72" s="158">
        <v>0.55861668784779916</v>
      </c>
      <c r="Q72" s="158">
        <v>0.55861668784779916</v>
      </c>
      <c r="R72" s="158">
        <v>0.55861668784779916</v>
      </c>
      <c r="S72" s="158">
        <v>0.55861668784779916</v>
      </c>
      <c r="T72" s="158">
        <v>0.55861668784779916</v>
      </c>
      <c r="U72" s="158">
        <v>0.55861668784779916</v>
      </c>
      <c r="V72" s="158">
        <v>0.55861668784779916</v>
      </c>
      <c r="W72" s="158">
        <v>0.55861668784779916</v>
      </c>
      <c r="X72" s="158">
        <v>0.55861668784779916</v>
      </c>
      <c r="AB72" s="12">
        <f t="shared" si="4"/>
        <v>67</v>
      </c>
      <c r="AC72" s="18" t="s">
        <v>202</v>
      </c>
      <c r="AD72" s="51"/>
    </row>
    <row r="73" spans="6:30" x14ac:dyDescent="0.2">
      <c r="G73" s="12"/>
      <c r="H73" s="19" t="s">
        <v>92</v>
      </c>
      <c r="J73" s="160"/>
      <c r="K73" s="158"/>
      <c r="L73" s="158"/>
      <c r="M73" s="158"/>
      <c r="N73" s="158"/>
      <c r="O73" s="158"/>
      <c r="P73" s="158"/>
      <c r="Q73" s="158"/>
      <c r="R73" s="158"/>
      <c r="S73" s="158"/>
      <c r="T73" s="158"/>
      <c r="U73" s="158"/>
      <c r="V73" s="158"/>
      <c r="W73" s="158"/>
      <c r="X73" s="158"/>
      <c r="AB73" s="12">
        <f t="shared" si="4"/>
        <v>68</v>
      </c>
      <c r="AC73" s="18"/>
      <c r="AD73" s="51"/>
    </row>
    <row r="74" spans="6:30" x14ac:dyDescent="0.2">
      <c r="G74" s="12"/>
      <c r="J74" s="160" t="s">
        <v>266</v>
      </c>
      <c r="K74" s="158" cm="1">
        <f t="array" ref="K74:X76">Inputs.Wind!R234:AE236*_xlfn.IFS(selected.location="Canada",derate.CA,selected.location="Alberta",derate.AB,selected.location="Ontario",derate.ON)</f>
        <v>0.10805556933731733</v>
      </c>
      <c r="L74" s="158">
        <v>0.10701829733964933</v>
      </c>
      <c r="M74" s="158">
        <v>0.10598102534198132</v>
      </c>
      <c r="N74" s="158">
        <v>0.10494375334431329</v>
      </c>
      <c r="O74" s="158">
        <v>0.10390648134664532</v>
      </c>
      <c r="P74" s="158">
        <v>0.10286920934897728</v>
      </c>
      <c r="Q74" s="158">
        <v>0.10183193735130927</v>
      </c>
      <c r="R74" s="158">
        <v>0.10079466535364125</v>
      </c>
      <c r="S74" s="158">
        <v>9.9757393355973223E-2</v>
      </c>
      <c r="T74" s="158">
        <v>9.9009212905803431E-2</v>
      </c>
      <c r="U74" s="158">
        <v>9.8261032455633626E-2</v>
      </c>
      <c r="V74" s="158">
        <v>9.7512852005463835E-2</v>
      </c>
      <c r="W74" s="158">
        <v>9.676467155529403E-2</v>
      </c>
      <c r="X74" s="158">
        <v>9.6016491105124224E-2</v>
      </c>
      <c r="AB74" s="12">
        <f t="shared" si="4"/>
        <v>69</v>
      </c>
      <c r="AC74" s="18" t="s">
        <v>202</v>
      </c>
      <c r="AD74" s="51"/>
    </row>
    <row r="75" spans="6:30" x14ac:dyDescent="0.2">
      <c r="G75" s="12"/>
      <c r="J75" s="160" t="s">
        <v>267</v>
      </c>
      <c r="K75" s="158">
        <v>3.1508066104235836E-2</v>
      </c>
      <c r="L75" s="158">
        <v>3.1205606593161767E-2</v>
      </c>
      <c r="M75" s="158">
        <v>3.0903147082087679E-2</v>
      </c>
      <c r="N75" s="158">
        <v>3.0600687571013599E-2</v>
      </c>
      <c r="O75" s="158">
        <v>3.0298228059939522E-2</v>
      </c>
      <c r="P75" s="158">
        <v>2.9995768548865438E-2</v>
      </c>
      <c r="Q75" s="158">
        <v>2.9693309037791354E-2</v>
      </c>
      <c r="R75" s="158">
        <v>2.9390849526717271E-2</v>
      </c>
      <c r="S75" s="158">
        <v>2.908839001564319E-2</v>
      </c>
      <c r="T75" s="158">
        <v>2.8870227090525863E-2</v>
      </c>
      <c r="U75" s="158">
        <v>2.8652064165408546E-2</v>
      </c>
      <c r="V75" s="158">
        <v>2.8433901240291222E-2</v>
      </c>
      <c r="W75" s="158">
        <v>2.8215738315173895E-2</v>
      </c>
      <c r="X75" s="158">
        <v>2.7997575390056571E-2</v>
      </c>
      <c r="AB75" s="12">
        <f t="shared" si="4"/>
        <v>70</v>
      </c>
      <c r="AC75" s="18" t="s">
        <v>202</v>
      </c>
      <c r="AD75" s="51"/>
    </row>
    <row r="76" spans="6:30" x14ac:dyDescent="0.2">
      <c r="G76" s="12"/>
      <c r="J76" s="160" t="s">
        <v>268</v>
      </c>
      <c r="K76" s="158">
        <v>6.1550640761763031E-2</v>
      </c>
      <c r="L76" s="158">
        <v>6.0959789623850888E-2</v>
      </c>
      <c r="M76" s="158">
        <v>6.0368938485938717E-2</v>
      </c>
      <c r="N76" s="158">
        <v>5.9778087348026553E-2</v>
      </c>
      <c r="O76" s="158">
        <v>5.9187236210114409E-2</v>
      </c>
      <c r="P76" s="158">
        <v>5.8596385072202238E-2</v>
      </c>
      <c r="Q76" s="158">
        <v>5.8005533934290074E-2</v>
      </c>
      <c r="R76" s="158">
        <v>5.7414682796377917E-2</v>
      </c>
      <c r="S76" s="158">
        <v>5.6823831658465752E-2</v>
      </c>
      <c r="T76" s="158">
        <v>5.6397652921027275E-2</v>
      </c>
      <c r="U76" s="158">
        <v>5.5971474183588776E-2</v>
      </c>
      <c r="V76" s="158">
        <v>5.5545295446150278E-2</v>
      </c>
      <c r="W76" s="158">
        <v>5.5119116708711793E-2</v>
      </c>
      <c r="X76" s="158">
        <v>5.4692937971273295E-2</v>
      </c>
      <c r="AB76" s="12">
        <f t="shared" si="4"/>
        <v>71</v>
      </c>
      <c r="AC76" s="18" t="s">
        <v>202</v>
      </c>
      <c r="AD76" s="51"/>
    </row>
    <row r="77" spans="6:30" x14ac:dyDescent="0.2">
      <c r="G77" s="12"/>
      <c r="J77" s="160" t="s">
        <v>269</v>
      </c>
      <c r="K77" s="159" cm="1">
        <f t="array" ref="K77">_xlfn.IFS(selected.location="Canada",land.lease.CA,selected.location="Alberta",land.lease.AB,selected.location="Ontario",land.lease.ON)</f>
        <v>15000</v>
      </c>
      <c r="L77" s="159" cm="1">
        <f t="array" ref="L77">_xlfn.IFS(selected.location="Canada",land.lease.CA,selected.location="Alberta",land.lease.AB,selected.location="Ontario",land.lease.ON)</f>
        <v>15000</v>
      </c>
      <c r="M77" s="159" cm="1">
        <f t="array" ref="M77">_xlfn.IFS(selected.location="Canada",land.lease.CA,selected.location="Alberta",land.lease.AB,selected.location="Ontario",land.lease.ON)</f>
        <v>15000</v>
      </c>
      <c r="N77" s="159" cm="1">
        <f t="array" ref="N77">_xlfn.IFS(selected.location="Canada",land.lease.CA,selected.location="Alberta",land.lease.AB,selected.location="Ontario",land.lease.ON)</f>
        <v>15000</v>
      </c>
      <c r="O77" s="159" cm="1">
        <f t="array" ref="O77">_xlfn.IFS(selected.location="Canada",land.lease.CA,selected.location="Alberta",land.lease.AB,selected.location="Ontario",land.lease.ON)</f>
        <v>15000</v>
      </c>
      <c r="P77" s="159" cm="1">
        <f t="array" ref="P77">_xlfn.IFS(selected.location="Canada",land.lease.CA,selected.location="Alberta",land.lease.AB,selected.location="Ontario",land.lease.ON)</f>
        <v>15000</v>
      </c>
      <c r="Q77" s="159" cm="1">
        <f t="array" ref="Q77">_xlfn.IFS(selected.location="Canada",land.lease.CA,selected.location="Alberta",land.lease.AB,selected.location="Ontario",land.lease.ON)</f>
        <v>15000</v>
      </c>
      <c r="R77" s="159" cm="1">
        <f t="array" ref="R77">_xlfn.IFS(selected.location="Canada",land.lease.CA,selected.location="Alberta",land.lease.AB,selected.location="Ontario",land.lease.ON)</f>
        <v>15000</v>
      </c>
      <c r="S77" s="159" cm="1">
        <f t="array" ref="S77">_xlfn.IFS(selected.location="Canada",land.lease.CA,selected.location="Alberta",land.lease.AB,selected.location="Ontario",land.lease.ON)</f>
        <v>15000</v>
      </c>
      <c r="T77" s="159" cm="1">
        <f t="array" ref="T77">_xlfn.IFS(selected.location="Canada",land.lease.CA,selected.location="Alberta",land.lease.AB,selected.location="Ontario",land.lease.ON)</f>
        <v>15000</v>
      </c>
      <c r="U77" s="159" cm="1">
        <f t="array" ref="U77">_xlfn.IFS(selected.location="Canada",land.lease.CA,selected.location="Alberta",land.lease.AB,selected.location="Ontario",land.lease.ON)</f>
        <v>15000</v>
      </c>
      <c r="V77" s="159" cm="1">
        <f t="array" ref="V77">_xlfn.IFS(selected.location="Canada",land.lease.CA,selected.location="Alberta",land.lease.AB,selected.location="Ontario",land.lease.ON)</f>
        <v>15000</v>
      </c>
      <c r="W77" s="159" cm="1">
        <f t="array" ref="W77">_xlfn.IFS(selected.location="Canada",land.lease.CA,selected.location="Alberta",land.lease.AB,selected.location="Ontario",land.lease.ON)</f>
        <v>15000</v>
      </c>
      <c r="X77" s="159" cm="1">
        <f t="array" ref="X77">_xlfn.IFS(selected.location="Canada",land.lease.CA,selected.location="Alberta",land.lease.AB,selected.location="Ontario",land.lease.ON)</f>
        <v>15000</v>
      </c>
      <c r="AB77" s="12">
        <f t="shared" si="4"/>
        <v>72</v>
      </c>
      <c r="AC77" s="18" t="s">
        <v>202</v>
      </c>
      <c r="AD77" s="51"/>
    </row>
    <row r="78" spans="6:30" x14ac:dyDescent="0.2">
      <c r="G78" s="12"/>
      <c r="J78" s="160" t="s">
        <v>270</v>
      </c>
      <c r="K78" s="158" cm="1">
        <f t="array" ref="K78">_xlfn.IFS(selected.location="Canada",wind.property.tax_CA,selected.location="Alberta",wind.property.tax_AB,selected.location="Ontario",wind.property.tax_ON)</f>
        <v>1.2</v>
      </c>
      <c r="L78" s="158" cm="1">
        <f t="array" ref="L78">_xlfn.IFS(selected.location="Canada",wind.property.tax_CA,selected.location="Alberta",wind.property.tax_AB,selected.location="Ontario",wind.property.tax_ON)</f>
        <v>1.2</v>
      </c>
      <c r="M78" s="158" cm="1">
        <f t="array" ref="M78">_xlfn.IFS(selected.location="Canada",wind.property.tax_CA,selected.location="Alberta",wind.property.tax_AB,selected.location="Ontario",wind.property.tax_ON)</f>
        <v>1.2</v>
      </c>
      <c r="N78" s="158" cm="1">
        <f t="array" ref="N78">_xlfn.IFS(selected.location="Canada",wind.property.tax_CA,selected.location="Alberta",wind.property.tax_AB,selected.location="Ontario",wind.property.tax_ON)</f>
        <v>1.2</v>
      </c>
      <c r="O78" s="158" cm="1">
        <f t="array" ref="O78">_xlfn.IFS(selected.location="Canada",wind.property.tax_CA,selected.location="Alberta",wind.property.tax_AB,selected.location="Ontario",wind.property.tax_ON)</f>
        <v>1.2</v>
      </c>
      <c r="P78" s="158" cm="1">
        <f t="array" ref="P78">_xlfn.IFS(selected.location="Canada",wind.property.tax_CA,selected.location="Alberta",wind.property.tax_AB,selected.location="Ontario",wind.property.tax_ON)</f>
        <v>1.2</v>
      </c>
      <c r="Q78" s="158" cm="1">
        <f t="array" ref="Q78">_xlfn.IFS(selected.location="Canada",wind.property.tax_CA,selected.location="Alberta",wind.property.tax_AB,selected.location="Ontario",wind.property.tax_ON)</f>
        <v>1.2</v>
      </c>
      <c r="R78" s="158" cm="1">
        <f t="array" ref="R78">_xlfn.IFS(selected.location="Canada",wind.property.tax_CA,selected.location="Alberta",wind.property.tax_AB,selected.location="Ontario",wind.property.tax_ON)</f>
        <v>1.2</v>
      </c>
      <c r="S78" s="158" cm="1">
        <f t="array" ref="S78">_xlfn.IFS(selected.location="Canada",wind.property.tax_CA,selected.location="Alberta",wind.property.tax_AB,selected.location="Ontario",wind.property.tax_ON)</f>
        <v>1.2</v>
      </c>
      <c r="T78" s="158" cm="1">
        <f t="array" ref="T78">_xlfn.IFS(selected.location="Canada",wind.property.tax_CA,selected.location="Alberta",wind.property.tax_AB,selected.location="Ontario",wind.property.tax_ON)</f>
        <v>1.2</v>
      </c>
      <c r="U78" s="158" cm="1">
        <f t="array" ref="U78">_xlfn.IFS(selected.location="Canada",wind.property.tax_CA,selected.location="Alberta",wind.property.tax_AB,selected.location="Ontario",wind.property.tax_ON)</f>
        <v>1.2</v>
      </c>
      <c r="V78" s="158" cm="1">
        <f t="array" ref="V78">_xlfn.IFS(selected.location="Canada",wind.property.tax_CA,selected.location="Alberta",wind.property.tax_AB,selected.location="Ontario",wind.property.tax_ON)</f>
        <v>1.2</v>
      </c>
      <c r="W78" s="158" cm="1">
        <f t="array" ref="W78">_xlfn.IFS(selected.location="Canada",wind.property.tax_CA,selected.location="Alberta",wind.property.tax_AB,selected.location="Ontario",wind.property.tax_ON)</f>
        <v>1.2</v>
      </c>
      <c r="X78" s="158" cm="1">
        <f t="array" ref="X78">_xlfn.IFS(selected.location="Canada",wind.property.tax_CA,selected.location="Alberta",wind.property.tax_AB,selected.location="Ontario",wind.property.tax_ON)</f>
        <v>1.2</v>
      </c>
      <c r="AB78" s="12">
        <f t="shared" si="4"/>
        <v>73</v>
      </c>
      <c r="AC78" s="18" t="s">
        <v>202</v>
      </c>
      <c r="AD78" s="51"/>
    </row>
    <row r="79" spans="6:30" x14ac:dyDescent="0.2">
      <c r="G79" s="12"/>
      <c r="J79" s="160" t="s">
        <v>271</v>
      </c>
      <c r="K79" s="158">
        <f t="shared" ref="K79:X79" si="5">wind.admin.costs</f>
        <v>1.27</v>
      </c>
      <c r="L79" s="158">
        <f t="shared" si="5"/>
        <v>1.27</v>
      </c>
      <c r="M79" s="158">
        <f t="shared" si="5"/>
        <v>1.27</v>
      </c>
      <c r="N79" s="158">
        <f t="shared" si="5"/>
        <v>1.27</v>
      </c>
      <c r="O79" s="158">
        <f t="shared" si="5"/>
        <v>1.27</v>
      </c>
      <c r="P79" s="158">
        <f t="shared" si="5"/>
        <v>1.27</v>
      </c>
      <c r="Q79" s="158">
        <f t="shared" si="5"/>
        <v>1.27</v>
      </c>
      <c r="R79" s="158">
        <f t="shared" si="5"/>
        <v>1.27</v>
      </c>
      <c r="S79" s="158">
        <f t="shared" si="5"/>
        <v>1.27</v>
      </c>
      <c r="T79" s="158">
        <f t="shared" si="5"/>
        <v>1.27</v>
      </c>
      <c r="U79" s="158">
        <f t="shared" si="5"/>
        <v>1.27</v>
      </c>
      <c r="V79" s="158">
        <f t="shared" si="5"/>
        <v>1.27</v>
      </c>
      <c r="W79" s="158">
        <f t="shared" si="5"/>
        <v>1.27</v>
      </c>
      <c r="X79" s="158">
        <f t="shared" si="5"/>
        <v>1.27</v>
      </c>
      <c r="AB79" s="12">
        <f t="shared" si="4"/>
        <v>74</v>
      </c>
      <c r="AC79" s="18" t="s">
        <v>202</v>
      </c>
      <c r="AD79" s="51"/>
    </row>
    <row r="80" spans="6:30" x14ac:dyDescent="0.2">
      <c r="G80" s="12"/>
      <c r="J80" s="160"/>
      <c r="AB80" s="12">
        <f t="shared" si="4"/>
        <v>75</v>
      </c>
      <c r="AC80" s="18"/>
      <c r="AD80" s="51"/>
    </row>
    <row r="81" spans="7:30" x14ac:dyDescent="0.2">
      <c r="G81" s="12"/>
      <c r="H81" s="19" t="s">
        <v>100</v>
      </c>
      <c r="J81" s="20"/>
      <c r="AB81" s="12">
        <f t="shared" si="4"/>
        <v>76</v>
      </c>
      <c r="AC81" s="18"/>
      <c r="AD81" s="51"/>
    </row>
    <row r="82" spans="7:30" x14ac:dyDescent="0.2">
      <c r="G82" s="12"/>
      <c r="J82" s="160" t="s">
        <v>101</v>
      </c>
      <c r="K82" s="204">
        <f t="shared" ref="K82:X82" si="6">((project.interest_rate*(1+project.interest_rate)^project.debt_period)/(((1+project.interest_rate)^project.debt_period)-1))</f>
        <v>0.17913501805901069</v>
      </c>
      <c r="L82" s="204">
        <f t="shared" si="6"/>
        <v>0.17913501805901069</v>
      </c>
      <c r="M82" s="204">
        <f t="shared" si="6"/>
        <v>0.17913501805901069</v>
      </c>
      <c r="N82" s="204">
        <f t="shared" si="6"/>
        <v>0.17913501805901069</v>
      </c>
      <c r="O82" s="204">
        <f t="shared" si="6"/>
        <v>0.17913501805901069</v>
      </c>
      <c r="P82" s="204">
        <f t="shared" si="6"/>
        <v>0.17913501805901069</v>
      </c>
      <c r="Q82" s="204">
        <f t="shared" si="6"/>
        <v>0.17913501805901069</v>
      </c>
      <c r="R82" s="204">
        <f t="shared" si="6"/>
        <v>0.17913501805901069</v>
      </c>
      <c r="S82" s="204">
        <f t="shared" si="6"/>
        <v>0.17913501805901069</v>
      </c>
      <c r="T82" s="204">
        <f t="shared" si="6"/>
        <v>0.17913501805901069</v>
      </c>
      <c r="U82" s="204">
        <f t="shared" si="6"/>
        <v>0.17913501805901069</v>
      </c>
      <c r="V82" s="204">
        <f t="shared" si="6"/>
        <v>0.17913501805901069</v>
      </c>
      <c r="W82" s="204">
        <f t="shared" si="6"/>
        <v>0.17913501805901069</v>
      </c>
      <c r="X82" s="204">
        <f t="shared" si="6"/>
        <v>0.17913501805901069</v>
      </c>
      <c r="AB82" s="12">
        <f t="shared" si="4"/>
        <v>77</v>
      </c>
      <c r="AC82" s="18" t="s">
        <v>102</v>
      </c>
      <c r="AD82" s="51"/>
    </row>
    <row r="83" spans="7:30" x14ac:dyDescent="0.2">
      <c r="G83" s="12"/>
      <c r="J83" s="160" t="s">
        <v>103</v>
      </c>
      <c r="K83" s="159">
        <f t="shared" ref="K83:X83" si="7">NPV(jurisdiction.discount_rate,_xlfn.MAKEARRAY(1,project.debt_period,_xlfn.LAMBDA(_xlpm.r,_xlpm.c,K$82*K$7*(1-project.downpayment))))+NPV(jurisdiction.discount_rate,_xlfn.MAKEARRAY(1,K14,_xlfn.LAMBDA(_xlpm.r,_xlpm.c,K$8)))+K$7*project.downpayment</f>
        <v>3572.5586158138267</v>
      </c>
      <c r="L83" s="159">
        <f t="shared" si="7"/>
        <v>3469.9617464923467</v>
      </c>
      <c r="M83" s="159">
        <f t="shared" si="7"/>
        <v>3336.6212518226394</v>
      </c>
      <c r="N83" s="159">
        <f t="shared" si="7"/>
        <v>3223.666167661258</v>
      </c>
      <c r="O83" s="159">
        <f t="shared" si="7"/>
        <v>3081.921075744564</v>
      </c>
      <c r="P83" s="159">
        <f t="shared" si="7"/>
        <v>3014.6709544868913</v>
      </c>
      <c r="Q83" s="159">
        <f t="shared" si="7"/>
        <v>2940.5105890163663</v>
      </c>
      <c r="R83" s="159">
        <f t="shared" si="7"/>
        <v>2841.3757188243044</v>
      </c>
      <c r="S83" s="159">
        <f t="shared" si="7"/>
        <v>2752.9828121607657</v>
      </c>
      <c r="T83" s="159">
        <f t="shared" si="7"/>
        <v>2643.2824215782662</v>
      </c>
      <c r="U83" s="159">
        <f t="shared" si="7"/>
        <v>2603.4615187893487</v>
      </c>
      <c r="V83" s="159">
        <f t="shared" si="7"/>
        <v>2479.3253010447602</v>
      </c>
      <c r="W83" s="159">
        <f t="shared" si="7"/>
        <v>2424.6692963696137</v>
      </c>
      <c r="X83" s="159">
        <f t="shared" si="7"/>
        <v>2329.0181246618372</v>
      </c>
      <c r="AB83" s="12">
        <f t="shared" si="4"/>
        <v>78</v>
      </c>
      <c r="AC83" s="18" t="s">
        <v>104</v>
      </c>
      <c r="AD83" s="51"/>
    </row>
    <row r="84" spans="7:30" x14ac:dyDescent="0.2">
      <c r="G84" s="12"/>
      <c r="J84" s="160" t="s">
        <v>105</v>
      </c>
      <c r="K84" s="273" cm="1">
        <f t="array" ref="K84">NPV(jurisdiction.discount_rate,_xlfn.MAKEARRAY(1,K$14,_xlfn.LAMBDA(_xlpm.r,_xlpm.c,(1^(_xlpm.c-1)))))*K$15*8760</f>
        <v>68679.946488542075</v>
      </c>
      <c r="L84" s="273" cm="1">
        <f t="array" ref="L84">NPV(jurisdiction.discount_rate,_xlfn.MAKEARRAY(1,L$14,_xlfn.LAMBDA(_xlpm.r,_xlpm.c,(1^(_xlpm.c-1)))))*L$15*8760</f>
        <v>70081.501445186484</v>
      </c>
      <c r="M84" s="273" cm="1">
        <f t="array" ref="M84">NPV(jurisdiction.discount_rate,_xlfn.MAKEARRAY(1,M$14,_xlfn.LAMBDA(_xlpm.r,_xlpm.c,(1^(_xlpm.c-1)))))*M$15*8760</f>
        <v>70081.501445186484</v>
      </c>
      <c r="N84" s="273" cm="1">
        <f t="array" ref="N84">NPV(jurisdiction.discount_rate,_xlfn.MAKEARRAY(1,N$14,_xlfn.LAMBDA(_xlpm.r,_xlpm.c,(1^(_xlpm.c-1)))))*N$15*8760</f>
        <v>71442.234412802398</v>
      </c>
      <c r="O84" s="273" cm="1">
        <f t="array" ref="O84">NPV(jurisdiction.discount_rate,_xlfn.MAKEARRAY(1,O$14,_xlfn.LAMBDA(_xlpm.r,_xlpm.c,(1^(_xlpm.c-1)))))*O$15*8760</f>
        <v>71442.234412802398</v>
      </c>
      <c r="P84" s="273" cm="1">
        <f t="array" ref="P84">NPV(jurisdiction.discount_rate,_xlfn.MAKEARRAY(1,P$14,_xlfn.LAMBDA(_xlpm.r,_xlpm.c,(1^(_xlpm.c-1)))))*P$15*8760</f>
        <v>72763.33438136155</v>
      </c>
      <c r="Q84" s="273" cm="1">
        <f t="array" ref="Q84">NPV(jurisdiction.discount_rate,_xlfn.MAKEARRAY(1,Q$14,_xlfn.LAMBDA(_xlpm.r,_xlpm.c,(1^(_xlpm.c-1)))))*Q$15*8760</f>
        <v>74045.955710059759</v>
      </c>
      <c r="R84" s="273" cm="1">
        <f t="array" ref="R84">NPV(jurisdiction.discount_rate,_xlfn.MAKEARRAY(1,R$14,_xlfn.LAMBDA(_xlpm.r,_xlpm.c,(1^(_xlpm.c-1)))))*R$15*8760</f>
        <v>74045.955710059759</v>
      </c>
      <c r="S84" s="273" cm="1">
        <f t="array" ref="S84">NPV(jurisdiction.discount_rate,_xlfn.MAKEARRAY(1,S$14,_xlfn.LAMBDA(_xlpm.r,_xlpm.c,(1^(_xlpm.c-1)))))*S$15*8760</f>
        <v>75291.219135980355</v>
      </c>
      <c r="T84" s="273" cm="1">
        <f t="array" ref="T84">NPV(jurisdiction.discount_rate,_xlfn.MAKEARRAY(1,T$14,_xlfn.LAMBDA(_xlpm.r,_xlpm.c,(1^(_xlpm.c-1)))))*T$15*8760</f>
        <v>75291.219135980355</v>
      </c>
      <c r="U84" s="273" cm="1">
        <f t="array" ref="U84">NPV(jurisdiction.discount_rate,_xlfn.MAKEARRAY(1,U$14,_xlfn.LAMBDA(_xlpm.r,_xlpm.c,(1^(_xlpm.c-1)))))*U$15*8760</f>
        <v>76500.212753378961</v>
      </c>
      <c r="V84" s="273" cm="1">
        <f t="array" ref="V84">NPV(jurisdiction.discount_rate,_xlfn.MAKEARRAY(1,V$14,_xlfn.LAMBDA(_xlpm.r,_xlpm.c,(1^(_xlpm.c-1)))))*V$15*8760</f>
        <v>76500.212753378961</v>
      </c>
      <c r="W84" s="273" cm="1">
        <f t="array" ref="W84">NPV(jurisdiction.discount_rate,_xlfn.MAKEARRAY(1,W$14,_xlfn.LAMBDA(_xlpm.r,_xlpm.c,(1^(_xlpm.c-1)))))*W$15*8760</f>
        <v>77673.992964445599</v>
      </c>
      <c r="X84" s="273" cm="1">
        <f t="array" ref="X84">NPV(jurisdiction.discount_rate,_xlfn.MAKEARRAY(1,X$14,_xlfn.LAMBDA(_xlpm.r,_xlpm.c,(1^(_xlpm.c-1)))))*X$15*8760</f>
        <v>80994.160997619329</v>
      </c>
      <c r="AB84" s="12">
        <f t="shared" si="4"/>
        <v>79</v>
      </c>
      <c r="AC84" s="18" t="s">
        <v>106</v>
      </c>
      <c r="AD84" s="51"/>
    </row>
    <row r="85" spans="7:30" x14ac:dyDescent="0.2">
      <c r="G85" s="12"/>
      <c r="J85" s="160" t="s">
        <v>107</v>
      </c>
      <c r="K85" s="287">
        <f>K83/K84</f>
        <v>5.2017492710333423E-2</v>
      </c>
      <c r="L85" s="287">
        <f t="shared" ref="L85:X85" si="8">L83/L84</f>
        <v>4.9513233520065793E-2</v>
      </c>
      <c r="M85" s="287">
        <f t="shared" si="8"/>
        <v>4.7610584576763711E-2</v>
      </c>
      <c r="N85" s="287">
        <f t="shared" si="8"/>
        <v>4.5122695197836356E-2</v>
      </c>
      <c r="O85" s="287">
        <f t="shared" si="8"/>
        <v>4.3138643423956041E-2</v>
      </c>
      <c r="P85" s="287">
        <f t="shared" si="8"/>
        <v>4.1431182066047602E-2</v>
      </c>
      <c r="Q85" s="287">
        <f t="shared" si="8"/>
        <v>3.9711967531764515E-2</v>
      </c>
      <c r="R85" s="287">
        <f t="shared" si="8"/>
        <v>3.8373138567489376E-2</v>
      </c>
      <c r="S85" s="287">
        <f t="shared" si="8"/>
        <v>3.6564460554008527E-2</v>
      </c>
      <c r="T85" s="287">
        <f t="shared" si="8"/>
        <v>3.510744615257648E-2</v>
      </c>
      <c r="U85" s="287">
        <f t="shared" si="8"/>
        <v>3.40320820699202E-2</v>
      </c>
      <c r="V85" s="287">
        <f t="shared" si="8"/>
        <v>3.2409390925978179E-2</v>
      </c>
      <c r="W85" s="287">
        <f t="shared" si="8"/>
        <v>3.1215973375792318E-2</v>
      </c>
      <c r="X85" s="287">
        <f t="shared" si="8"/>
        <v>2.8755383054468512E-2</v>
      </c>
      <c r="AB85" s="12">
        <f t="shared" si="4"/>
        <v>80</v>
      </c>
      <c r="AC85" s="18" t="s">
        <v>108</v>
      </c>
      <c r="AD85" s="51"/>
    </row>
    <row r="86" spans="7:30" x14ac:dyDescent="0.2">
      <c r="G86" s="12"/>
      <c r="L86" s="21" t="s">
        <v>272</v>
      </c>
      <c r="AB86" s="12"/>
      <c r="AD86" s="51"/>
    </row>
    <row r="87" spans="7:30" x14ac:dyDescent="0.2">
      <c r="G87" s="12"/>
      <c r="J87" s="20"/>
      <c r="AB87" s="12"/>
      <c r="AD87" s="51"/>
    </row>
    <row r="88" spans="7:30" x14ac:dyDescent="0.2">
      <c r="G88" s="12"/>
      <c r="J88" s="20"/>
      <c r="AB88" s="12"/>
      <c r="AD88" s="51"/>
    </row>
    <row r="89" spans="7:30" x14ac:dyDescent="0.2">
      <c r="G89" s="12"/>
      <c r="J89" s="20"/>
      <c r="K89" s="54"/>
      <c r="L89" s="54"/>
      <c r="M89" s="54"/>
      <c r="N89" s="54"/>
      <c r="O89" s="54"/>
      <c r="P89" s="54"/>
      <c r="Q89" s="54"/>
      <c r="R89" s="54"/>
      <c r="S89" s="54"/>
      <c r="T89" s="54"/>
      <c r="U89" s="54"/>
      <c r="V89" s="54"/>
      <c r="W89" s="54"/>
      <c r="X89" s="54"/>
      <c r="AB89" s="12"/>
      <c r="AD89" s="51"/>
    </row>
    <row r="90" spans="7:30" x14ac:dyDescent="0.2">
      <c r="G90" s="12"/>
      <c r="J90" s="20"/>
      <c r="K90" s="27"/>
      <c r="L90" s="27"/>
      <c r="M90" s="27"/>
      <c r="N90" s="27"/>
      <c r="O90" s="27"/>
      <c r="P90" s="27"/>
      <c r="Q90" s="27"/>
      <c r="R90" s="27"/>
      <c r="S90" s="27"/>
      <c r="T90" s="27"/>
      <c r="U90" s="27"/>
      <c r="V90" s="27"/>
      <c r="W90" s="27"/>
      <c r="X90" s="27"/>
      <c r="AB90" s="12"/>
      <c r="AD90" s="51"/>
    </row>
    <row r="91" spans="7:30" x14ac:dyDescent="0.2">
      <c r="AB91" s="12"/>
      <c r="AD91" s="51"/>
    </row>
    <row r="92" spans="7:30" x14ac:dyDescent="0.2">
      <c r="AB92" s="12"/>
      <c r="AD92" s="51"/>
    </row>
    <row r="93" spans="7:30" x14ac:dyDescent="0.2">
      <c r="AB93" s="12"/>
      <c r="AD93" s="51"/>
    </row>
    <row r="94" spans="7:30" x14ac:dyDescent="0.2">
      <c r="AB94" s="12"/>
      <c r="AD94" s="51"/>
    </row>
    <row r="95" spans="7:30" x14ac:dyDescent="0.2">
      <c r="AB95" s="12"/>
      <c r="AD95" s="51"/>
    </row>
    <row r="96" spans="7:30" x14ac:dyDescent="0.2">
      <c r="AB96" s="12"/>
      <c r="AD96" s="51"/>
    </row>
    <row r="97" spans="10:30" x14ac:dyDescent="0.2">
      <c r="AB97" s="12"/>
      <c r="AD97" s="51"/>
    </row>
    <row r="98" spans="10:30" x14ac:dyDescent="0.2">
      <c r="AD98" s="51"/>
    </row>
    <row r="99" spans="10:30" x14ac:dyDescent="0.2">
      <c r="AD99" s="51"/>
    </row>
    <row r="101" spans="10:30" x14ac:dyDescent="0.2">
      <c r="J101" s="211"/>
      <c r="K101" s="9"/>
      <c r="L101" s="9"/>
      <c r="M101" s="19"/>
      <c r="N101" s="22"/>
    </row>
    <row r="102" spans="10:30" x14ac:dyDescent="0.2">
      <c r="J102" s="211"/>
      <c r="K102" s="9"/>
      <c r="L102" s="34"/>
      <c r="M102" s="9"/>
      <c r="N102" s="9"/>
    </row>
    <row r="103" spans="10:30" x14ac:dyDescent="0.2">
      <c r="J103" s="211"/>
      <c r="K103" s="9"/>
      <c r="L103" s="34"/>
      <c r="M103" s="34"/>
      <c r="N103" s="38"/>
    </row>
    <row r="104" spans="10:30" x14ac:dyDescent="0.2">
      <c r="J104" s="211"/>
      <c r="K104" s="9"/>
      <c r="L104" s="34"/>
      <c r="M104" s="34"/>
      <c r="N104" s="36"/>
    </row>
    <row r="105" spans="10:30" x14ac:dyDescent="0.2">
      <c r="J105" s="211"/>
      <c r="K105" s="9"/>
      <c r="L105" s="34"/>
      <c r="M105" s="34"/>
      <c r="N105" s="36"/>
    </row>
    <row r="106" spans="10:30" x14ac:dyDescent="0.2">
      <c r="J106" s="211"/>
      <c r="K106" s="9"/>
      <c r="L106" s="34"/>
      <c r="M106" s="34"/>
      <c r="N106" s="36"/>
    </row>
    <row r="107" spans="10:30" x14ac:dyDescent="0.2">
      <c r="J107" s="211"/>
      <c r="K107" s="9"/>
      <c r="L107" s="34"/>
      <c r="M107" s="34"/>
      <c r="N107" s="36"/>
    </row>
    <row r="108" spans="10:30" x14ac:dyDescent="0.2">
      <c r="J108" s="211"/>
      <c r="K108" s="9"/>
      <c r="L108" s="34"/>
      <c r="M108" s="34"/>
      <c r="N108" s="36"/>
    </row>
    <row r="109" spans="10:30" x14ac:dyDescent="0.2">
      <c r="J109" s="211"/>
      <c r="K109" s="193"/>
      <c r="L109" s="34"/>
      <c r="M109" s="34"/>
      <c r="N109" s="36"/>
    </row>
    <row r="110" spans="10:30" x14ac:dyDescent="0.2">
      <c r="J110" s="211"/>
      <c r="K110" s="9"/>
      <c r="L110" s="34"/>
    </row>
    <row r="111" spans="10:30" x14ac:dyDescent="0.2">
      <c r="J111" s="211"/>
      <c r="K111" s="9"/>
      <c r="L111" s="9"/>
    </row>
    <row r="112" spans="10:30" x14ac:dyDescent="0.2">
      <c r="J112" s="211"/>
      <c r="K112" s="9"/>
      <c r="L112" s="9"/>
      <c r="M112" s="34"/>
      <c r="N112" s="9"/>
    </row>
    <row r="113" spans="10:14" x14ac:dyDescent="0.2">
      <c r="J113" s="211"/>
      <c r="K113" s="9"/>
      <c r="L113" s="9"/>
      <c r="M113" s="34"/>
      <c r="N113" s="9"/>
    </row>
    <row r="114" spans="10:14" x14ac:dyDescent="0.2">
      <c r="J114" s="211"/>
      <c r="K114" s="9"/>
      <c r="L114" s="9"/>
      <c r="M114" s="9"/>
      <c r="N114" s="9"/>
    </row>
    <row r="115" spans="10:14" x14ac:dyDescent="0.2">
      <c r="J115" s="211"/>
      <c r="K115" s="9"/>
      <c r="L115" s="9"/>
      <c r="M115" s="9"/>
      <c r="N115" s="9"/>
    </row>
    <row r="116" spans="10:14" x14ac:dyDescent="0.2">
      <c r="J116" s="211"/>
      <c r="K116" s="9"/>
      <c r="L116" s="9"/>
      <c r="M116" s="9"/>
      <c r="N116" s="9"/>
    </row>
    <row r="117" spans="10:14" x14ac:dyDescent="0.2">
      <c r="J117" s="211"/>
      <c r="K117" s="9"/>
      <c r="L117" s="9"/>
      <c r="M117" s="9"/>
      <c r="N117" s="9"/>
    </row>
    <row r="118" spans="10:14" x14ac:dyDescent="0.2">
      <c r="J118" s="211"/>
      <c r="K118" s="9"/>
      <c r="L118" s="9"/>
      <c r="M118" s="9"/>
      <c r="N118" s="9"/>
    </row>
    <row r="119" spans="10:14" x14ac:dyDescent="0.2">
      <c r="J119" s="211"/>
      <c r="K119" s="9"/>
      <c r="L119" s="9"/>
      <c r="M119" s="9"/>
      <c r="N119" s="9"/>
    </row>
  </sheetData>
  <mergeCells count="1">
    <mergeCell ref="B3:E3"/>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84C67F1-3FCC-42CF-9E83-AC47B07C660C}">
          <x14:formula1>
            <xm:f>Jurisdiction_Inputs!$K$24:$M$24</xm:f>
          </x14:formula1>
          <xm:sqref>N101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3fc9cf9-b5f3-4e42-bf71-264dec0c5de0" xsi:nil="true"/>
    <lcf76f155ced4ddcb4097134ff3c332f xmlns="25fa9785-f937-43f0-b43a-42c748b0b652">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D03E902925F8B46B827F84E4ABE1444" ma:contentTypeVersion="10" ma:contentTypeDescription="Create a new document." ma:contentTypeScope="" ma:versionID="761d892284ce0a644857956aea3f99a4">
  <xsd:schema xmlns:xsd="http://www.w3.org/2001/XMLSchema" xmlns:xs="http://www.w3.org/2001/XMLSchema" xmlns:p="http://schemas.microsoft.com/office/2006/metadata/properties" xmlns:ns2="25fa9785-f937-43f0-b43a-42c748b0b652" xmlns:ns3="73fc9cf9-b5f3-4e42-bf71-264dec0c5de0" targetNamespace="http://schemas.microsoft.com/office/2006/metadata/properties" ma:root="true" ma:fieldsID="68e40a02c4bf660f1b8e6a69f7460561" ns2:_="" ns3:_="">
    <xsd:import namespace="25fa9785-f937-43f0-b43a-42c748b0b652"/>
    <xsd:import namespace="73fc9cf9-b5f3-4e42-bf71-264dec0c5de0"/>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fa9785-f937-43f0-b43a-42c748b0b6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782cfcdc-4e4d-4452-9c9d-1f3ca2ad073c"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3fc9cf9-b5f3-4e42-bf71-264dec0c5de0"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f3605f50-e804-4546-8843-d9db96ef62da}" ma:internalName="TaxCatchAll" ma:showField="CatchAllData" ma:web="73fc9cf9-b5f3-4e42-bf71-264dec0c5de0">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DB51FD6-FE23-4D10-AD18-5D55D19CE1E1}">
  <ds:schemaRefs>
    <ds:schemaRef ds:uri="http://schemas.microsoft.com/office/2006/metadata/properties"/>
    <ds:schemaRef ds:uri="http://schemas.microsoft.com/office/infopath/2007/PartnerControls"/>
    <ds:schemaRef ds:uri="73fc9cf9-b5f3-4e42-bf71-264dec0c5de0"/>
    <ds:schemaRef ds:uri="25fa9785-f937-43f0-b43a-42c748b0b652"/>
  </ds:schemaRefs>
</ds:datastoreItem>
</file>

<file path=customXml/itemProps2.xml><?xml version="1.0" encoding="utf-8"?>
<ds:datastoreItem xmlns:ds="http://schemas.openxmlformats.org/officeDocument/2006/customXml" ds:itemID="{E7762344-2A49-4759-A63C-FC231DF2D80A}">
  <ds:schemaRefs>
    <ds:schemaRef ds:uri="http://schemas.microsoft.com/sharepoint/v3/contenttype/forms"/>
  </ds:schemaRefs>
</ds:datastoreItem>
</file>

<file path=customXml/itemProps3.xml><?xml version="1.0" encoding="utf-8"?>
<ds:datastoreItem xmlns:ds="http://schemas.openxmlformats.org/officeDocument/2006/customXml" ds:itemID="{69BB9770-A00D-4252-A788-D23C7A5D6F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fa9785-f937-43f0-b43a-42c748b0b652"/>
    <ds:schemaRef ds:uri="73fc9cf9-b5f3-4e42-bf71-264dec0c5d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22</vt:i4>
      </vt:variant>
      <vt:variant>
        <vt:lpstr>Named Ranges</vt:lpstr>
      </vt:variant>
      <vt:variant>
        <vt:i4>157</vt:i4>
      </vt:variant>
    </vt:vector>
  </HeadingPairs>
  <TitlesOfParts>
    <vt:vector size="179" baseType="lpstr">
      <vt:lpstr>_Cover</vt:lpstr>
      <vt:lpstr>_Contents</vt:lpstr>
      <vt:lpstr>Dashboard</vt:lpstr>
      <vt:lpstr>Carbon.Tax_Inputs</vt:lpstr>
      <vt:lpstr>Cost_Forecast_SC</vt:lpstr>
      <vt:lpstr>ES.Costs</vt:lpstr>
      <vt:lpstr>Solar.Costs</vt:lpstr>
      <vt:lpstr>Solar_ES.Costs</vt:lpstr>
      <vt:lpstr>Wind.Costs</vt:lpstr>
      <vt:lpstr>Wind_ES.Costs</vt:lpstr>
      <vt:lpstr>Gas.Peaker.Costs</vt:lpstr>
      <vt:lpstr>CCGT.Costs</vt:lpstr>
      <vt:lpstr>Gas.Peaker.Costs (No Carb Tax)</vt:lpstr>
      <vt:lpstr>CCGT.Costs (No Carb Tax)</vt:lpstr>
      <vt:lpstr>Inputs_SC</vt:lpstr>
      <vt:lpstr>Inputs.ES</vt:lpstr>
      <vt:lpstr>Inputs.Solar</vt:lpstr>
      <vt:lpstr>Inputs.Wind</vt:lpstr>
      <vt:lpstr>Inputs.Gas.Peaker</vt:lpstr>
      <vt:lpstr>Inputs.CCGT</vt:lpstr>
      <vt:lpstr>Lookup_SC</vt:lpstr>
      <vt:lpstr>Jurisdiction_Inputs</vt:lpstr>
      <vt:lpstr>Canada.CPI</vt:lpstr>
      <vt:lpstr>CPI.years</vt:lpstr>
      <vt:lpstr>derate.AB</vt:lpstr>
      <vt:lpstr>derate.CA</vt:lpstr>
      <vt:lpstr>derate.ON</vt:lpstr>
      <vt:lpstr>es_selected.plant.capacity</vt:lpstr>
      <vt:lpstr>es_selected.plant.capacity_MWh</vt:lpstr>
      <vt:lpstr>es.annual.cycles</vt:lpstr>
      <vt:lpstr>es.avg.lifetime.rated.capacity</vt:lpstr>
      <vt:lpstr>es.battery.cabinet.costs.2022</vt:lpstr>
      <vt:lpstr>es.jurisdictional_inputs</vt:lpstr>
      <vt:lpstr>es.jurisdictional_inputs_rows</vt:lpstr>
      <vt:lpstr>es.RTE</vt:lpstr>
      <vt:lpstr>es.selected.duration</vt:lpstr>
      <vt:lpstr>es.total.capex_CADperkW</vt:lpstr>
      <vt:lpstr>es.total.opex_CADperkW</vt:lpstr>
      <vt:lpstr>Inputs.CCGT!forecast_ccgt_costs_CA</vt:lpstr>
      <vt:lpstr>Inputs.CCGT!forecast_ccgt_fixed_om_costs_CA</vt:lpstr>
      <vt:lpstr>Inputs.CCGT!forecast_ccgt_var_om_costs_CA</vt:lpstr>
      <vt:lpstr>forecast_es.admin.costs_CA</vt:lpstr>
      <vt:lpstr>forecast_es.battery_costs_AB</vt:lpstr>
      <vt:lpstr>forecast_es.battery_costs_CA</vt:lpstr>
      <vt:lpstr>forecast_es.battery_costs_ON</vt:lpstr>
      <vt:lpstr>forecast_es.battery_fixedOM_AB</vt:lpstr>
      <vt:lpstr>forecast_es.battery_fixedOM_CA</vt:lpstr>
      <vt:lpstr>forecast_es.battery_fixedOM_ON</vt:lpstr>
      <vt:lpstr>forecast_es.battery.inverter.costs_AB</vt:lpstr>
      <vt:lpstr>forecast_es.battery.inverter.costs_CA</vt:lpstr>
      <vt:lpstr>forecast_es.battery.inverter.costs_ON</vt:lpstr>
      <vt:lpstr>forecast_es.BOS.electrical.costs_AB</vt:lpstr>
      <vt:lpstr>forecast_es.BOS.electrical.costs_CA</vt:lpstr>
      <vt:lpstr>forecast_es.BOS.electrical.costs_ON</vt:lpstr>
      <vt:lpstr>forecast_es.BOS.Structural.costs_AB</vt:lpstr>
      <vt:lpstr>forecast_es.BOS.Structural.costs_CA</vt:lpstr>
      <vt:lpstr>forecast_es.BOS.Structural.costs_ON</vt:lpstr>
      <vt:lpstr>forecast_es.footprint</vt:lpstr>
      <vt:lpstr>forecast_es.land.costs_AB</vt:lpstr>
      <vt:lpstr>forecast_es.land.costs_CA</vt:lpstr>
      <vt:lpstr>forecast_es.land.costs_ON</vt:lpstr>
      <vt:lpstr>forecast_gas.peaker_costs_CA</vt:lpstr>
      <vt:lpstr>forecast_gas.peaker_fixed_om_costs_CA</vt:lpstr>
      <vt:lpstr>forecast_gas.peaker_var_om_costs_CA</vt:lpstr>
      <vt:lpstr>forecast_solar.admin.costs_CA</vt:lpstr>
      <vt:lpstr>forecast_solar.cleaning.costs_AB</vt:lpstr>
      <vt:lpstr>forecast_solar.cleaning.costs_CA</vt:lpstr>
      <vt:lpstr>forecast_solar.cleaning.costs_ON</vt:lpstr>
      <vt:lpstr>forecast_solar.electrical.BOS.costs_AB</vt:lpstr>
      <vt:lpstr>forecast_solar.electrical.BOS.costs_CA</vt:lpstr>
      <vt:lpstr>forecast_solar.electrical.BOS.costs_ON</vt:lpstr>
      <vt:lpstr>forecast_solar.electrical.BOS.costs.fixed_AB</vt:lpstr>
      <vt:lpstr>forecast_solar.electrical.BOS.costs.fixed_CA</vt:lpstr>
      <vt:lpstr>forecast_solar.electrical.BOS.costs.fixed_ON</vt:lpstr>
      <vt:lpstr>forecast_solar.grid.connection.costs_AB</vt:lpstr>
      <vt:lpstr>forecast_solar.grid.connection.costs_CA</vt:lpstr>
      <vt:lpstr>forecast_solar.grid.connection.costs_ON</vt:lpstr>
      <vt:lpstr>forecast_solar.ILR</vt:lpstr>
      <vt:lpstr>forecast_solar.installation.rental_AB</vt:lpstr>
      <vt:lpstr>forecast_solar.installation.rental_CA</vt:lpstr>
      <vt:lpstr>forecast_solar.installation.rental_ON</vt:lpstr>
      <vt:lpstr>forecast_solar.inverter.costs_AB</vt:lpstr>
      <vt:lpstr>forecast_solar.inverter.costs_CA</vt:lpstr>
      <vt:lpstr>forecast_solar.inverter.costs_ON</vt:lpstr>
      <vt:lpstr>forecast_solar.land.costs_AB</vt:lpstr>
      <vt:lpstr>forecast_solar.land.costs_CA</vt:lpstr>
      <vt:lpstr>forecast_solar.land.costs_ON</vt:lpstr>
      <vt:lpstr>forecast_solar.module.costs_AB</vt:lpstr>
      <vt:lpstr>forecast_solar.module.costs_CA</vt:lpstr>
      <vt:lpstr>forecast_solar.module.costs_ON</vt:lpstr>
      <vt:lpstr>forecast_solar.module.efficiency</vt:lpstr>
      <vt:lpstr>forecast_solar.o_m.costs_AB</vt:lpstr>
      <vt:lpstr>forecast_solar.o_m.costs_CA</vt:lpstr>
      <vt:lpstr>forecast_solar.o_m.costs_ON</vt:lpstr>
      <vt:lpstr>forecast_solar.struct.BOS.costs_AB</vt:lpstr>
      <vt:lpstr>forecast_solar.struct.BOS.costs_CA</vt:lpstr>
      <vt:lpstr>forecast_solar.struct.BOS.costs_ON</vt:lpstr>
      <vt:lpstr>forecast_solar.wages_AB</vt:lpstr>
      <vt:lpstr>forecast_solar.wages_CA</vt:lpstr>
      <vt:lpstr>forecast_solar.wages_ON</vt:lpstr>
      <vt:lpstr>forecast_wind.balance.of.plant.costs_CA</vt:lpstr>
      <vt:lpstr>forecast_wind.blade.costs_CA</vt:lpstr>
      <vt:lpstr>forecast_wind.blade.transportation.costs_AB</vt:lpstr>
      <vt:lpstr>forecast_wind.blade.transportation.costs_CA</vt:lpstr>
      <vt:lpstr>forecast_wind.blade.transportation.costs_ON</vt:lpstr>
      <vt:lpstr>forecast_wind.BOP.costs_AB</vt:lpstr>
      <vt:lpstr>forecast_wind.BOP.costs_CA</vt:lpstr>
      <vt:lpstr>forecast_wind.BOP.costs_ON</vt:lpstr>
      <vt:lpstr>forecast_wind.hub.assembly.costs_CA</vt:lpstr>
      <vt:lpstr>forecast_wind.hub.height_CA</vt:lpstr>
      <vt:lpstr>forecast_wind.nacelle.costs_CA</vt:lpstr>
      <vt:lpstr>forecast_wind.pitch.assembly.costs_CA</vt:lpstr>
      <vt:lpstr>forecast_wind.rotor.diameter_CA</vt:lpstr>
      <vt:lpstr>forecast_wind.tower.costs_CA</vt:lpstr>
      <vt:lpstr>forecast_wind.turbine.capacity_CA</vt:lpstr>
      <vt:lpstr>Inputs.CCGT!forecast.carbon.tax</vt:lpstr>
      <vt:lpstr>forecast.carbon.tax</vt:lpstr>
      <vt:lpstr>forecast.es_rte</vt:lpstr>
      <vt:lpstr>Forecast.ITC.Equipment</vt:lpstr>
      <vt:lpstr>Forecast.ITC.Installation</vt:lpstr>
      <vt:lpstr>Forecast.ITC.Soft</vt:lpstr>
      <vt:lpstr>Inputs.CCGT!gas.peaker.carbon.emissions_ton_per_MWh</vt:lpstr>
      <vt:lpstr>gas.peaker.carbon.emissions_ton_per_MWh</vt:lpstr>
      <vt:lpstr>ITC.toggle</vt:lpstr>
      <vt:lpstr>jurisdiction.discount_rate</vt:lpstr>
      <vt:lpstr>jurisdictional_inputs</vt:lpstr>
      <vt:lpstr>jurisdictional_inputs_rows</vt:lpstr>
      <vt:lpstr>jurisdictions</vt:lpstr>
      <vt:lpstr>land.lease.AB</vt:lpstr>
      <vt:lpstr>land.lease.CA</vt:lpstr>
      <vt:lpstr>land.lease.ON</vt:lpstr>
      <vt:lpstr>project.debt_period</vt:lpstr>
      <vt:lpstr>project.downpayment</vt:lpstr>
      <vt:lpstr>project.interest_rate</vt:lpstr>
      <vt:lpstr>selected.location</vt:lpstr>
      <vt:lpstr>solar_selected.capacity.factor</vt:lpstr>
      <vt:lpstr>solar_selected.inverter.capacity</vt:lpstr>
      <vt:lpstr>solar_selected.module.capacity</vt:lpstr>
      <vt:lpstr>solar.LCOE_CADperkWh</vt:lpstr>
      <vt:lpstr>solar.system_project_life</vt:lpstr>
      <vt:lpstr>solar.total.capex_CADmil</vt:lpstr>
      <vt:lpstr>solar.total.capex_CADperkW</vt:lpstr>
      <vt:lpstr>solar.total.capex_equip_CADmil</vt:lpstr>
      <vt:lpstr>solar.total.capex_install_CADmil</vt:lpstr>
      <vt:lpstr>solar.total.capex_replacement_CADmil</vt:lpstr>
      <vt:lpstr>solar.total.capex_soft_CADmil</vt:lpstr>
      <vt:lpstr>solar.total.energy_production</vt:lpstr>
      <vt:lpstr>solar.total.npv_cost</vt:lpstr>
      <vt:lpstr>solar.total.opex_CADmil</vt:lpstr>
      <vt:lpstr>solar.total.opex_CADperkWyr</vt:lpstr>
      <vt:lpstr>US.CPI</vt:lpstr>
      <vt:lpstr>USD_to_CAD</vt:lpstr>
      <vt:lpstr>wind_project_life</vt:lpstr>
      <vt:lpstr>Wind_ES.Costs!wind_selected.capacity.factor</vt:lpstr>
      <vt:lpstr>wind_selected.capacity.factor</vt:lpstr>
      <vt:lpstr>Wind_ES.Costs!wind_selected.num.turbine</vt:lpstr>
      <vt:lpstr>wind_selected.num.turbine</vt:lpstr>
      <vt:lpstr>Wind_ES.Costs!wind_selected.plant.capacity</vt:lpstr>
      <vt:lpstr>wind_selected.plant.capacity</vt:lpstr>
      <vt:lpstr>Wind_ES.Costs!wind_selected.project.life</vt:lpstr>
      <vt:lpstr>wind_selected.project.life</vt:lpstr>
      <vt:lpstr>Wind_ES.Costs!wind_selected.turbine.capacity</vt:lpstr>
      <vt:lpstr>wind_selected.turbine.capacity</vt:lpstr>
      <vt:lpstr>wind.admin.costs</vt:lpstr>
      <vt:lpstr>Wind_ES.Costs!wind.LCOE_CADperkWh</vt:lpstr>
      <vt:lpstr>wind.LCOE_CADperkWh</vt:lpstr>
      <vt:lpstr>wind.property.tax_AB</vt:lpstr>
      <vt:lpstr>wind.property.tax_CA</vt:lpstr>
      <vt:lpstr>wind.property.tax_ON</vt:lpstr>
      <vt:lpstr>Wind_ES.Costs!wind.total.capex_CADperkW</vt:lpstr>
      <vt:lpstr>wind.total.capex_CADperkW</vt:lpstr>
      <vt:lpstr>Wind_ES.Costs!wind.total.capex_equip_CADmil</vt:lpstr>
      <vt:lpstr>wind.total.capex_equip_CADmil</vt:lpstr>
      <vt:lpstr>Wind_ES.Costs!wind.total.capex_install_CADmil</vt:lpstr>
      <vt:lpstr>wind.total.capex_install_CADmil</vt:lpstr>
      <vt:lpstr>Wind_ES.Costs!wind.total.capex_soft_CADmil</vt:lpstr>
      <vt:lpstr>wind.total.capex_soft_CADmil</vt:lpstr>
      <vt:lpstr>Wind_ES.Costs!wind.total.opex_CADperkW</vt:lpstr>
      <vt:lpstr>wind.total.opex_CADperkW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Anirudh Kshemendranath</dc:creator>
  <cp:keywords/>
  <dc:description/>
  <cp:lastModifiedBy>Microsoft Office User</cp:lastModifiedBy>
  <cp:revision/>
  <dcterms:created xsi:type="dcterms:W3CDTF">2022-11-07T19:15:46Z</dcterms:created>
  <dcterms:modified xsi:type="dcterms:W3CDTF">2023-02-02T00:47:33Z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0x0101003D03E902925F8B46B827F84E4ABE1444</vt:lpwstr>
  </property>
  <property fmtid="{D5CDD505-2E9C-101B-9397-08002B2CF9AE}" pid="3" name="MediaServiceImageTags">
    <vt:lpwstr/>
  </property>
</Properties>
</file>